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7.xml" ContentType="application/vnd.openxmlformats-officedocument.drawing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xl/comments10.xml" ContentType="application/vnd.openxmlformats-officedocument.spreadsheetml.comments+xml"/>
  <Override PartName="/xl/comments9.xml" ContentType="application/vnd.openxmlformats-officedocument.spreadsheetml.comments+xml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xl/comments5.xml" ContentType="application/vnd.openxmlformats-officedocument.spreadsheetml.comments+xml"/>
  <Override PartName="/xl/comments11.xml" ContentType="application/vnd.openxmlformats-officedocument.spreadsheetml.comments+xml"/>
  <Override PartName="/xl/comments7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2.xml" ContentType="application/vnd.openxmlformats-officedocument.spreadsheetml.comments+xml"/>
  <Override PartName="/xl/comments3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4295" windowHeight="12570" activeTab="11"/>
  </bookViews>
  <sheets>
    <sheet name="2023-jan" sheetId="1" r:id="rId1"/>
    <sheet name="2023-fev" sheetId="6" r:id="rId2"/>
    <sheet name="2023-mar" sheetId="7" r:id="rId3"/>
    <sheet name="2023-abr" sheetId="8" r:id="rId4"/>
    <sheet name="2023-mai" sheetId="9" r:id="rId5"/>
    <sheet name="2023-jun" sheetId="10" r:id="rId6"/>
    <sheet name="2023-jul" sheetId="11" r:id="rId7"/>
    <sheet name="2023-ago" sheetId="12" r:id="rId8"/>
    <sheet name="2023-set" sheetId="13" r:id="rId9"/>
    <sheet name="2023-out" sheetId="14" r:id="rId10"/>
    <sheet name="2023-nov" sheetId="15" r:id="rId11"/>
    <sheet name="2023-dez" sheetId="16" r:id="rId12"/>
  </sheets>
  <calcPr calcId="145621"/>
</workbook>
</file>

<file path=xl/calcChain.xml><?xml version="1.0" encoding="utf-8"?>
<calcChain xmlns="http://schemas.openxmlformats.org/spreadsheetml/2006/main">
  <c r="H205" i="16" l="1"/>
  <c r="G205" i="16"/>
  <c r="D205" i="16"/>
  <c r="C205" i="16"/>
  <c r="E205" i="16" s="1"/>
  <c r="H204" i="16"/>
  <c r="G204" i="16"/>
  <c r="D204" i="16"/>
  <c r="C204" i="16"/>
  <c r="E204" i="16" s="1"/>
  <c r="H203" i="16"/>
  <c r="G203" i="16"/>
  <c r="D203" i="16"/>
  <c r="C203" i="16"/>
  <c r="E203" i="16" s="1"/>
  <c r="H202" i="16"/>
  <c r="G202" i="16"/>
  <c r="D202" i="16"/>
  <c r="C202" i="16"/>
  <c r="E202" i="16" s="1"/>
  <c r="H201" i="16"/>
  <c r="G201" i="16"/>
  <c r="D201" i="16"/>
  <c r="C201" i="16"/>
  <c r="E201" i="16" s="1"/>
  <c r="H200" i="16"/>
  <c r="G200" i="16"/>
  <c r="D200" i="16"/>
  <c r="C200" i="16"/>
  <c r="E200" i="16" s="1"/>
  <c r="I198" i="16"/>
  <c r="I197" i="16"/>
  <c r="I196" i="16"/>
  <c r="I195" i="16"/>
  <c r="I194" i="16"/>
  <c r="I193" i="16"/>
  <c r="I192" i="16"/>
  <c r="I191" i="16"/>
  <c r="I190" i="16"/>
  <c r="I189" i="16"/>
  <c r="I188" i="16"/>
  <c r="I187" i="16"/>
  <c r="I186" i="16"/>
  <c r="I185" i="16"/>
  <c r="I184" i="16"/>
  <c r="I183" i="16"/>
  <c r="I182" i="16"/>
  <c r="I181" i="16"/>
  <c r="I180" i="16"/>
  <c r="I179" i="16"/>
  <c r="I178" i="16"/>
  <c r="I177" i="16"/>
  <c r="I176" i="16"/>
  <c r="I205" i="16" s="1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202" i="16" s="1"/>
  <c r="I101" i="16"/>
  <c r="I100" i="16"/>
  <c r="I99" i="16"/>
  <c r="I98" i="16"/>
  <c r="I97" i="16"/>
  <c r="I204" i="16" s="1"/>
  <c r="I96" i="16"/>
  <c r="I201" i="16" s="1"/>
  <c r="I95" i="16"/>
  <c r="H90" i="16"/>
  <c r="G90" i="16"/>
  <c r="D90" i="16"/>
  <c r="C90" i="16"/>
  <c r="E90" i="16" s="1"/>
  <c r="H89" i="16"/>
  <c r="G89" i="16"/>
  <c r="D89" i="16"/>
  <c r="E89" i="16" s="1"/>
  <c r="C89" i="16"/>
  <c r="H88" i="16"/>
  <c r="G88" i="16"/>
  <c r="D88" i="16"/>
  <c r="C88" i="16"/>
  <c r="E88" i="16" s="1"/>
  <c r="H87" i="16"/>
  <c r="G87" i="16"/>
  <c r="D87" i="16"/>
  <c r="D91" i="16" s="1"/>
  <c r="C87" i="16"/>
  <c r="C91" i="16" s="1"/>
  <c r="I86" i="16"/>
  <c r="H86" i="16"/>
  <c r="H91" i="16" s="1"/>
  <c r="G86" i="16"/>
  <c r="D86" i="16"/>
  <c r="C86" i="16"/>
  <c r="E86" i="16" s="1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89" i="16" s="1"/>
  <c r="I60" i="16"/>
  <c r="I59" i="16"/>
  <c r="I58" i="16"/>
  <c r="I57" i="16"/>
  <c r="I56" i="16"/>
  <c r="I55" i="16"/>
  <c r="I54" i="16"/>
  <c r="I53" i="16"/>
  <c r="I52" i="16"/>
  <c r="I87" i="16" s="1"/>
  <c r="I51" i="16"/>
  <c r="I50" i="16"/>
  <c r="I49" i="16"/>
  <c r="I48" i="16"/>
  <c r="I47" i="16"/>
  <c r="I46" i="16"/>
  <c r="I45" i="16"/>
  <c r="I44" i="16"/>
  <c r="I43" i="16"/>
  <c r="I88" i="16" s="1"/>
  <c r="I38" i="16"/>
  <c r="H38" i="16"/>
  <c r="G38" i="16"/>
  <c r="E38" i="16"/>
  <c r="D38" i="16"/>
  <c r="C38" i="16"/>
  <c r="I37" i="16"/>
  <c r="H37" i="16"/>
  <c r="G37" i="16"/>
  <c r="D37" i="16"/>
  <c r="C37" i="16"/>
  <c r="E37" i="16" s="1"/>
  <c r="I36" i="16"/>
  <c r="H36" i="16"/>
  <c r="G36" i="16"/>
  <c r="D36" i="16"/>
  <c r="C36" i="16"/>
  <c r="E36" i="16" s="1"/>
  <c r="I35" i="16"/>
  <c r="H35" i="16"/>
  <c r="G35" i="16"/>
  <c r="D35" i="16"/>
  <c r="E35" i="16" s="1"/>
  <c r="C35" i="16"/>
  <c r="J34" i="16"/>
  <c r="I34" i="16"/>
  <c r="H34" i="16"/>
  <c r="G34" i="16"/>
  <c r="E34" i="16"/>
  <c r="D34" i="16"/>
  <c r="C34" i="16"/>
  <c r="I33" i="16"/>
  <c r="H33" i="16"/>
  <c r="G33" i="16"/>
  <c r="D33" i="16"/>
  <c r="C33" i="16"/>
  <c r="E33" i="16" s="1"/>
  <c r="I32" i="16"/>
  <c r="H32" i="16"/>
  <c r="G32" i="16"/>
  <c r="E32" i="16"/>
  <c r="D32" i="16"/>
  <c r="C32" i="16"/>
  <c r="J31" i="16"/>
  <c r="I31" i="16"/>
  <c r="H31" i="16"/>
  <c r="G31" i="16"/>
  <c r="D31" i="16"/>
  <c r="C31" i="16"/>
  <c r="E31" i="16" s="1"/>
  <c r="J30" i="16"/>
  <c r="I30" i="16"/>
  <c r="H30" i="16"/>
  <c r="G30" i="16"/>
  <c r="D30" i="16"/>
  <c r="C30" i="16"/>
  <c r="E30" i="16" s="1"/>
  <c r="I29" i="16"/>
  <c r="H29" i="16"/>
  <c r="G29" i="16"/>
  <c r="D29" i="16"/>
  <c r="C29" i="16"/>
  <c r="E29" i="16" s="1"/>
  <c r="J28" i="16"/>
  <c r="J39" i="16" s="1"/>
  <c r="I28" i="16"/>
  <c r="I39" i="16" s="1"/>
  <c r="H28" i="16"/>
  <c r="H39" i="16" s="1"/>
  <c r="G28" i="16"/>
  <c r="G39" i="16" s="1"/>
  <c r="E28" i="16"/>
  <c r="D28" i="16"/>
  <c r="D39" i="16" s="1"/>
  <c r="C28" i="16"/>
  <c r="C39" i="16" s="1"/>
  <c r="J26" i="16"/>
  <c r="J32" i="16" s="1"/>
  <c r="J25" i="16"/>
  <c r="J24" i="16"/>
  <c r="J23" i="16"/>
  <c r="J22" i="16"/>
  <c r="J21" i="16"/>
  <c r="J20" i="16"/>
  <c r="J19" i="16"/>
  <c r="J18" i="16"/>
  <c r="J17" i="16"/>
  <c r="J16" i="16"/>
  <c r="J29" i="16" s="1"/>
  <c r="J15" i="16"/>
  <c r="J36" i="16" s="1"/>
  <c r="J14" i="16"/>
  <c r="J35" i="16" s="1"/>
  <c r="J13" i="16"/>
  <c r="J12" i="16"/>
  <c r="J33" i="16" s="1"/>
  <c r="J11" i="16"/>
  <c r="J38" i="16" s="1"/>
  <c r="J10" i="16"/>
  <c r="J9" i="16"/>
  <c r="J8" i="16"/>
  <c r="J37" i="16" s="1"/>
  <c r="J7" i="16"/>
  <c r="I203" i="16" l="1"/>
  <c r="H206" i="16"/>
  <c r="I200" i="16"/>
  <c r="G206" i="16"/>
  <c r="G209" i="16" s="1"/>
  <c r="D206" i="16"/>
  <c r="D209" i="16" s="1"/>
  <c r="G91" i="16"/>
  <c r="I90" i="16"/>
  <c r="E87" i="16"/>
  <c r="E91" i="16" s="1"/>
  <c r="E206" i="16"/>
  <c r="E39" i="16"/>
  <c r="I91" i="16"/>
  <c r="H209" i="16"/>
  <c r="C206" i="16"/>
  <c r="C209" i="16" s="1"/>
  <c r="H205" i="15"/>
  <c r="G205" i="15"/>
  <c r="D205" i="15"/>
  <c r="C205" i="15"/>
  <c r="E205" i="15" s="1"/>
  <c r="H204" i="15"/>
  <c r="G204" i="15"/>
  <c r="D204" i="15"/>
  <c r="C204" i="15"/>
  <c r="H203" i="15"/>
  <c r="G203" i="15"/>
  <c r="D203" i="15"/>
  <c r="C203" i="15"/>
  <c r="H202" i="15"/>
  <c r="G202" i="15"/>
  <c r="D202" i="15"/>
  <c r="C202" i="15"/>
  <c r="H201" i="15"/>
  <c r="G201" i="15"/>
  <c r="D201" i="15"/>
  <c r="C201" i="15"/>
  <c r="E201" i="15" s="1"/>
  <c r="H200" i="15"/>
  <c r="H206" i="15" s="1"/>
  <c r="G200" i="15"/>
  <c r="D200" i="15"/>
  <c r="C200" i="15"/>
  <c r="I198" i="15"/>
  <c r="I197" i="15"/>
  <c r="I196" i="15"/>
  <c r="I195" i="15"/>
  <c r="I194" i="15"/>
  <c r="I193" i="15"/>
  <c r="I192" i="15"/>
  <c r="I191" i="15"/>
  <c r="I190" i="15"/>
  <c r="I189" i="15"/>
  <c r="I188" i="15"/>
  <c r="I187" i="15"/>
  <c r="I186" i="15"/>
  <c r="I185" i="15"/>
  <c r="I184" i="15"/>
  <c r="I183" i="15"/>
  <c r="I182" i="15"/>
  <c r="I181" i="15"/>
  <c r="I180" i="15"/>
  <c r="I179" i="15"/>
  <c r="I178" i="15"/>
  <c r="I177" i="15"/>
  <c r="I176" i="15"/>
  <c r="I205" i="15" s="1"/>
  <c r="I175" i="15"/>
  <c r="I174" i="15"/>
  <c r="I173" i="15"/>
  <c r="I172" i="15"/>
  <c r="I171" i="15"/>
  <c r="I170" i="15"/>
  <c r="I169" i="15"/>
  <c r="I168" i="15"/>
  <c r="I167" i="15"/>
  <c r="I166" i="15"/>
  <c r="I165" i="15"/>
  <c r="I164" i="15"/>
  <c r="I163" i="15"/>
  <c r="I162" i="15"/>
  <c r="I161" i="15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I124" i="15"/>
  <c r="I123" i="15"/>
  <c r="I122" i="15"/>
  <c r="I121" i="15"/>
  <c r="I120" i="15"/>
  <c r="I203" i="15" s="1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202" i="15" s="1"/>
  <c r="I101" i="15"/>
  <c r="I100" i="15"/>
  <c r="I99" i="15"/>
  <c r="I98" i="15"/>
  <c r="I97" i="15"/>
  <c r="I204" i="15" s="1"/>
  <c r="I96" i="15"/>
  <c r="I201" i="15" s="1"/>
  <c r="I95" i="15"/>
  <c r="H90" i="15"/>
  <c r="G90" i="15"/>
  <c r="E90" i="15"/>
  <c r="D90" i="15"/>
  <c r="C90" i="15"/>
  <c r="H89" i="15"/>
  <c r="G89" i="15"/>
  <c r="E89" i="15"/>
  <c r="D89" i="15"/>
  <c r="C89" i="15"/>
  <c r="H88" i="15"/>
  <c r="G88" i="15"/>
  <c r="E88" i="15"/>
  <c r="D88" i="15"/>
  <c r="C88" i="15"/>
  <c r="H87" i="15"/>
  <c r="G87" i="15"/>
  <c r="E87" i="15"/>
  <c r="E91" i="15" s="1"/>
  <c r="D87" i="15"/>
  <c r="D91" i="15" s="1"/>
  <c r="C87" i="15"/>
  <c r="C91" i="15" s="1"/>
  <c r="I86" i="15"/>
  <c r="H86" i="15"/>
  <c r="H91" i="15" s="1"/>
  <c r="G86" i="15"/>
  <c r="G91" i="15" s="1"/>
  <c r="E86" i="15"/>
  <c r="D86" i="15"/>
  <c r="C86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89" i="15" s="1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90" i="15" s="1"/>
  <c r="I45" i="15"/>
  <c r="I44" i="15"/>
  <c r="I87" i="15" s="1"/>
  <c r="I43" i="15"/>
  <c r="I88" i="15" s="1"/>
  <c r="I38" i="15"/>
  <c r="H38" i="15"/>
  <c r="G38" i="15"/>
  <c r="E38" i="15"/>
  <c r="D38" i="15"/>
  <c r="C38" i="15"/>
  <c r="I37" i="15"/>
  <c r="H37" i="15"/>
  <c r="G37" i="15"/>
  <c r="D37" i="15"/>
  <c r="C37" i="15"/>
  <c r="E37" i="15" s="1"/>
  <c r="J36" i="15"/>
  <c r="I36" i="15"/>
  <c r="H36" i="15"/>
  <c r="G36" i="15"/>
  <c r="D36" i="15"/>
  <c r="C36" i="15"/>
  <c r="E36" i="15" s="1"/>
  <c r="I35" i="15"/>
  <c r="H35" i="15"/>
  <c r="G35" i="15"/>
  <c r="D35" i="15"/>
  <c r="E35" i="15" s="1"/>
  <c r="C35" i="15"/>
  <c r="J34" i="15"/>
  <c r="I34" i="15"/>
  <c r="H34" i="15"/>
  <c r="G34" i="15"/>
  <c r="E34" i="15"/>
  <c r="D34" i="15"/>
  <c r="C34" i="15"/>
  <c r="I33" i="15"/>
  <c r="H33" i="15"/>
  <c r="G33" i="15"/>
  <c r="D33" i="15"/>
  <c r="E33" i="15" s="1"/>
  <c r="C33" i="15"/>
  <c r="I32" i="15"/>
  <c r="H32" i="15"/>
  <c r="G32" i="15"/>
  <c r="E32" i="15"/>
  <c r="D32" i="15"/>
  <c r="C32" i="15"/>
  <c r="J31" i="15"/>
  <c r="I31" i="15"/>
  <c r="H31" i="15"/>
  <c r="G31" i="15"/>
  <c r="D31" i="15"/>
  <c r="C31" i="15"/>
  <c r="E31" i="15" s="1"/>
  <c r="J30" i="15"/>
  <c r="I30" i="15"/>
  <c r="H30" i="15"/>
  <c r="H39" i="15" s="1"/>
  <c r="G30" i="15"/>
  <c r="D30" i="15"/>
  <c r="C30" i="15"/>
  <c r="E30" i="15" s="1"/>
  <c r="I29" i="15"/>
  <c r="H29" i="15"/>
  <c r="G29" i="15"/>
  <c r="D29" i="15"/>
  <c r="C29" i="15"/>
  <c r="E29" i="15" s="1"/>
  <c r="J28" i="15"/>
  <c r="I28" i="15"/>
  <c r="I39" i="15" s="1"/>
  <c r="H28" i="15"/>
  <c r="G28" i="15"/>
  <c r="G39" i="15" s="1"/>
  <c r="E28" i="15"/>
  <c r="D28" i="15"/>
  <c r="D39" i="15" s="1"/>
  <c r="C28" i="15"/>
  <c r="C39" i="15" s="1"/>
  <c r="J26" i="15"/>
  <c r="J32" i="15" s="1"/>
  <c r="J25" i="15"/>
  <c r="J24" i="15"/>
  <c r="J23" i="15"/>
  <c r="J22" i="15"/>
  <c r="J21" i="15"/>
  <c r="J35" i="15" s="1"/>
  <c r="J20" i="15"/>
  <c r="J19" i="15"/>
  <c r="J18" i="15"/>
  <c r="J17" i="15"/>
  <c r="J16" i="15"/>
  <c r="J29" i="15" s="1"/>
  <c r="J15" i="15"/>
  <c r="J14" i="15"/>
  <c r="J13" i="15"/>
  <c r="J12" i="15"/>
  <c r="J33" i="15" s="1"/>
  <c r="J11" i="15"/>
  <c r="J38" i="15" s="1"/>
  <c r="J10" i="15"/>
  <c r="J9" i="15"/>
  <c r="J37" i="15" s="1"/>
  <c r="J8" i="15"/>
  <c r="J7" i="15"/>
  <c r="I206" i="16" l="1"/>
  <c r="I209" i="16" s="1"/>
  <c r="E202" i="15"/>
  <c r="E200" i="15"/>
  <c r="E203" i="15"/>
  <c r="D206" i="15"/>
  <c r="D209" i="15" s="1"/>
  <c r="E204" i="15"/>
  <c r="E209" i="16"/>
  <c r="I200" i="15"/>
  <c r="I206" i="15" s="1"/>
  <c r="G206" i="15"/>
  <c r="G209" i="15" s="1"/>
  <c r="J39" i="15"/>
  <c r="E39" i="15"/>
  <c r="I91" i="15"/>
  <c r="H209" i="15"/>
  <c r="C206" i="15"/>
  <c r="C209" i="15" s="1"/>
  <c r="H205" i="14"/>
  <c r="G205" i="14"/>
  <c r="D205" i="14"/>
  <c r="C205" i="14"/>
  <c r="I204" i="14"/>
  <c r="H204" i="14"/>
  <c r="G204" i="14"/>
  <c r="D204" i="14"/>
  <c r="C204" i="14"/>
  <c r="H203" i="14"/>
  <c r="G203" i="14"/>
  <c r="D203" i="14"/>
  <c r="C203" i="14"/>
  <c r="E203" i="14" s="1"/>
  <c r="H202" i="14"/>
  <c r="G202" i="14"/>
  <c r="D202" i="14"/>
  <c r="C202" i="14"/>
  <c r="H201" i="14"/>
  <c r="G201" i="14"/>
  <c r="D201" i="14"/>
  <c r="C201" i="14"/>
  <c r="H200" i="14"/>
  <c r="G200" i="14"/>
  <c r="D200" i="14"/>
  <c r="C200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205" i="14" s="1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202" i="14" s="1"/>
  <c r="I103" i="14"/>
  <c r="I102" i="14"/>
  <c r="I101" i="14"/>
  <c r="I100" i="14"/>
  <c r="I200" i="14" s="1"/>
  <c r="I99" i="14"/>
  <c r="I203" i="14" s="1"/>
  <c r="I98" i="14"/>
  <c r="I97" i="14"/>
  <c r="I96" i="14"/>
  <c r="I201" i="14" s="1"/>
  <c r="I95" i="14"/>
  <c r="H90" i="14"/>
  <c r="G90" i="14"/>
  <c r="D90" i="14"/>
  <c r="C90" i="14"/>
  <c r="E90" i="14" s="1"/>
  <c r="H89" i="14"/>
  <c r="G89" i="14"/>
  <c r="D89" i="14"/>
  <c r="C89" i="14"/>
  <c r="H88" i="14"/>
  <c r="G88" i="14"/>
  <c r="D88" i="14"/>
  <c r="C88" i="14"/>
  <c r="H87" i="14"/>
  <c r="G87" i="14"/>
  <c r="D87" i="14"/>
  <c r="C87" i="14"/>
  <c r="I86" i="14"/>
  <c r="H86" i="14"/>
  <c r="G86" i="14"/>
  <c r="D86" i="14"/>
  <c r="C86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89" i="14" s="1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87" i="14" s="1"/>
  <c r="I46" i="14"/>
  <c r="I90" i="14" s="1"/>
  <c r="I45" i="14"/>
  <c r="I88" i="14" s="1"/>
  <c r="I44" i="14"/>
  <c r="I43" i="14"/>
  <c r="I38" i="14"/>
  <c r="H38" i="14"/>
  <c r="G38" i="14"/>
  <c r="D38" i="14"/>
  <c r="C38" i="14"/>
  <c r="I37" i="14"/>
  <c r="H37" i="14"/>
  <c r="G37" i="14"/>
  <c r="D37" i="14"/>
  <c r="C37" i="14"/>
  <c r="J36" i="14"/>
  <c r="I36" i="14"/>
  <c r="H36" i="14"/>
  <c r="G36" i="14"/>
  <c r="D36" i="14"/>
  <c r="C36" i="14"/>
  <c r="I35" i="14"/>
  <c r="H35" i="14"/>
  <c r="G35" i="14"/>
  <c r="D35" i="14"/>
  <c r="C35" i="14"/>
  <c r="J34" i="14"/>
  <c r="I34" i="14"/>
  <c r="H34" i="14"/>
  <c r="G34" i="14"/>
  <c r="D34" i="14"/>
  <c r="C34" i="14"/>
  <c r="I33" i="14"/>
  <c r="H33" i="14"/>
  <c r="G33" i="14"/>
  <c r="D33" i="14"/>
  <c r="C33" i="14"/>
  <c r="I32" i="14"/>
  <c r="H32" i="14"/>
  <c r="G32" i="14"/>
  <c r="D32" i="14"/>
  <c r="C32" i="14"/>
  <c r="E32" i="14" s="1"/>
  <c r="J31" i="14"/>
  <c r="I31" i="14"/>
  <c r="H31" i="14"/>
  <c r="G31" i="14"/>
  <c r="D31" i="14"/>
  <c r="C31" i="14"/>
  <c r="J30" i="14"/>
  <c r="I30" i="14"/>
  <c r="H30" i="14"/>
  <c r="G30" i="14"/>
  <c r="D30" i="14"/>
  <c r="C30" i="14"/>
  <c r="E30" i="14" s="1"/>
  <c r="I29" i="14"/>
  <c r="H29" i="14"/>
  <c r="G29" i="14"/>
  <c r="D29" i="14"/>
  <c r="C29" i="14"/>
  <c r="J28" i="14"/>
  <c r="I28" i="14"/>
  <c r="I39" i="14" s="1"/>
  <c r="H28" i="14"/>
  <c r="G28" i="14"/>
  <c r="G39" i="14" s="1"/>
  <c r="D28" i="14"/>
  <c r="C28" i="14"/>
  <c r="J26" i="14"/>
  <c r="J32" i="14" s="1"/>
  <c r="J25" i="14"/>
  <c r="J24" i="14"/>
  <c r="J23" i="14"/>
  <c r="J22" i="14"/>
  <c r="J21" i="14"/>
  <c r="J20" i="14"/>
  <c r="J19" i="14"/>
  <c r="J18" i="14"/>
  <c r="J17" i="14"/>
  <c r="J16" i="14"/>
  <c r="J29" i="14" s="1"/>
  <c r="J15" i="14"/>
  <c r="J14" i="14"/>
  <c r="J35" i="14" s="1"/>
  <c r="J13" i="14"/>
  <c r="J12" i="14"/>
  <c r="J33" i="14" s="1"/>
  <c r="J11" i="14"/>
  <c r="J38" i="14" s="1"/>
  <c r="J10" i="14"/>
  <c r="J9" i="14"/>
  <c r="J8" i="14"/>
  <c r="J37" i="14" s="1"/>
  <c r="J7" i="14"/>
  <c r="E206" i="15" l="1"/>
  <c r="E209" i="15"/>
  <c r="I209" i="15"/>
  <c r="E202" i="14"/>
  <c r="E204" i="14"/>
  <c r="H206" i="14"/>
  <c r="H209" i="14" s="1"/>
  <c r="G206" i="14"/>
  <c r="C206" i="14"/>
  <c r="E205" i="14"/>
  <c r="D206" i="14"/>
  <c r="G91" i="14"/>
  <c r="H91" i="14"/>
  <c r="E88" i="14"/>
  <c r="E86" i="14"/>
  <c r="E89" i="14"/>
  <c r="E91" i="14" s="1"/>
  <c r="C91" i="14"/>
  <c r="D91" i="14"/>
  <c r="E87" i="14"/>
  <c r="E37" i="14"/>
  <c r="E29" i="14"/>
  <c r="E33" i="14"/>
  <c r="E35" i="14"/>
  <c r="H39" i="14"/>
  <c r="E36" i="14"/>
  <c r="E31" i="14"/>
  <c r="E38" i="14"/>
  <c r="E34" i="14"/>
  <c r="C39" i="14"/>
  <c r="D39" i="14"/>
  <c r="J39" i="14"/>
  <c r="I206" i="14"/>
  <c r="I91" i="14"/>
  <c r="E28" i="14"/>
  <c r="E201" i="14"/>
  <c r="E200" i="14"/>
  <c r="H205" i="13"/>
  <c r="G205" i="13"/>
  <c r="D205" i="13"/>
  <c r="C205" i="13"/>
  <c r="H204" i="13"/>
  <c r="G204" i="13"/>
  <c r="D204" i="13"/>
  <c r="C204" i="13"/>
  <c r="H203" i="13"/>
  <c r="G203" i="13"/>
  <c r="D203" i="13"/>
  <c r="C203" i="13"/>
  <c r="H202" i="13"/>
  <c r="G202" i="13"/>
  <c r="D202" i="13"/>
  <c r="C202" i="13"/>
  <c r="H201" i="13"/>
  <c r="G201" i="13"/>
  <c r="D201" i="13"/>
  <c r="C201" i="13"/>
  <c r="H200" i="13"/>
  <c r="H206" i="13" s="1"/>
  <c r="G200" i="13"/>
  <c r="D200" i="13"/>
  <c r="C200" i="13"/>
  <c r="E200" i="13" s="1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205" i="13" s="1"/>
  <c r="I175" i="13"/>
  <c r="I203" i="13" s="1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201" i="13" s="1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202" i="13" s="1"/>
  <c r="I101" i="13"/>
  <c r="I100" i="13"/>
  <c r="I99" i="13"/>
  <c r="I98" i="13"/>
  <c r="I97" i="13"/>
  <c r="I204" i="13" s="1"/>
  <c r="I96" i="13"/>
  <c r="I95" i="13"/>
  <c r="H90" i="13"/>
  <c r="G90" i="13"/>
  <c r="D90" i="13"/>
  <c r="C90" i="13"/>
  <c r="I89" i="13"/>
  <c r="H89" i="13"/>
  <c r="G89" i="13"/>
  <c r="D89" i="13"/>
  <c r="E89" i="13" s="1"/>
  <c r="C89" i="13"/>
  <c r="H88" i="13"/>
  <c r="G88" i="13"/>
  <c r="D88" i="13"/>
  <c r="C88" i="13"/>
  <c r="E88" i="13" s="1"/>
  <c r="I87" i="13"/>
  <c r="H87" i="13"/>
  <c r="G87" i="13"/>
  <c r="G91" i="13" s="1"/>
  <c r="D87" i="13"/>
  <c r="C87" i="13"/>
  <c r="C91" i="13" s="1"/>
  <c r="I86" i="13"/>
  <c r="H86" i="13"/>
  <c r="H91" i="13" s="1"/>
  <c r="G86" i="13"/>
  <c r="D86" i="13"/>
  <c r="C86" i="13"/>
  <c r="E86" i="13" s="1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90" i="13" s="1"/>
  <c r="I45" i="13"/>
  <c r="I88" i="13" s="1"/>
  <c r="I44" i="13"/>
  <c r="I43" i="13"/>
  <c r="I38" i="13"/>
  <c r="H38" i="13"/>
  <c r="G38" i="13"/>
  <c r="D38" i="13"/>
  <c r="C38" i="13"/>
  <c r="I37" i="13"/>
  <c r="H37" i="13"/>
  <c r="G37" i="13"/>
  <c r="D37" i="13"/>
  <c r="C37" i="13"/>
  <c r="E37" i="13" s="1"/>
  <c r="J36" i="13"/>
  <c r="I36" i="13"/>
  <c r="H36" i="13"/>
  <c r="G36" i="13"/>
  <c r="D36" i="13"/>
  <c r="C36" i="13"/>
  <c r="I35" i="13"/>
  <c r="H35" i="13"/>
  <c r="G35" i="13"/>
  <c r="D35" i="13"/>
  <c r="C35" i="13"/>
  <c r="J34" i="13"/>
  <c r="I34" i="13"/>
  <c r="H34" i="13"/>
  <c r="G34" i="13"/>
  <c r="D34" i="13"/>
  <c r="C34" i="13"/>
  <c r="I33" i="13"/>
  <c r="H33" i="13"/>
  <c r="G33" i="13"/>
  <c r="D33" i="13"/>
  <c r="C33" i="13"/>
  <c r="E33" i="13" s="1"/>
  <c r="I32" i="13"/>
  <c r="H32" i="13"/>
  <c r="G32" i="13"/>
  <c r="D32" i="13"/>
  <c r="C32" i="13"/>
  <c r="J31" i="13"/>
  <c r="I31" i="13"/>
  <c r="H31" i="13"/>
  <c r="G31" i="13"/>
  <c r="D31" i="13"/>
  <c r="C31" i="13"/>
  <c r="E31" i="13" s="1"/>
  <c r="J30" i="13"/>
  <c r="I30" i="13"/>
  <c r="H30" i="13"/>
  <c r="G30" i="13"/>
  <c r="D30" i="13"/>
  <c r="C30" i="13"/>
  <c r="I29" i="13"/>
  <c r="H29" i="13"/>
  <c r="G29" i="13"/>
  <c r="D29" i="13"/>
  <c r="E29" i="13" s="1"/>
  <c r="C29" i="13"/>
  <c r="J28" i="13"/>
  <c r="I28" i="13"/>
  <c r="H28" i="13"/>
  <c r="G28" i="13"/>
  <c r="G39" i="13" s="1"/>
  <c r="D28" i="13"/>
  <c r="C28" i="13"/>
  <c r="E28" i="13" s="1"/>
  <c r="J26" i="13"/>
  <c r="J32" i="13" s="1"/>
  <c r="J25" i="13"/>
  <c r="J24" i="13"/>
  <c r="J23" i="13"/>
  <c r="J22" i="13"/>
  <c r="J21" i="13"/>
  <c r="J20" i="13"/>
  <c r="J19" i="13"/>
  <c r="J18" i="13"/>
  <c r="J33" i="13" s="1"/>
  <c r="J17" i="13"/>
  <c r="J16" i="13"/>
  <c r="J29" i="13" s="1"/>
  <c r="J15" i="13"/>
  <c r="J14" i="13"/>
  <c r="J13" i="13"/>
  <c r="J12" i="13"/>
  <c r="J11" i="13"/>
  <c r="J38" i="13" s="1"/>
  <c r="J10" i="13"/>
  <c r="J9" i="13"/>
  <c r="J8" i="13"/>
  <c r="J37" i="13" s="1"/>
  <c r="J7" i="13"/>
  <c r="H205" i="12"/>
  <c r="G205" i="12"/>
  <c r="D205" i="12"/>
  <c r="C205" i="12"/>
  <c r="E205" i="12" s="1"/>
  <c r="H204" i="12"/>
  <c r="G204" i="12"/>
  <c r="D204" i="12"/>
  <c r="C204" i="12"/>
  <c r="E204" i="12" s="1"/>
  <c r="H203" i="12"/>
  <c r="G203" i="12"/>
  <c r="D203" i="12"/>
  <c r="C203" i="12"/>
  <c r="E203" i="12" s="1"/>
  <c r="H202" i="12"/>
  <c r="G202" i="12"/>
  <c r="D202" i="12"/>
  <c r="C202" i="12"/>
  <c r="E202" i="12" s="1"/>
  <c r="H201" i="12"/>
  <c r="G201" i="12"/>
  <c r="D201" i="12"/>
  <c r="C201" i="12"/>
  <c r="E201" i="12" s="1"/>
  <c r="H200" i="12"/>
  <c r="H206" i="12" s="1"/>
  <c r="G200" i="12"/>
  <c r="G206" i="12" s="1"/>
  <c r="D200" i="12"/>
  <c r="D206" i="12" s="1"/>
  <c r="C200" i="12"/>
  <c r="E200" i="12" s="1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205" i="12" s="1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202" i="12" s="1"/>
  <c r="I101" i="12"/>
  <c r="I100" i="12"/>
  <c r="I99" i="12"/>
  <c r="I203" i="12" s="1"/>
  <c r="I98" i="12"/>
  <c r="I97" i="12"/>
  <c r="I204" i="12" s="1"/>
  <c r="I96" i="12"/>
  <c r="I201" i="12" s="1"/>
  <c r="I95" i="12"/>
  <c r="I200" i="12" s="1"/>
  <c r="H90" i="12"/>
  <c r="G90" i="12"/>
  <c r="E90" i="12"/>
  <c r="D90" i="12"/>
  <c r="C90" i="12"/>
  <c r="H89" i="12"/>
  <c r="G89" i="12"/>
  <c r="E89" i="12"/>
  <c r="D89" i="12"/>
  <c r="C89" i="12"/>
  <c r="H88" i="12"/>
  <c r="G88" i="12"/>
  <c r="D88" i="12"/>
  <c r="C88" i="12"/>
  <c r="E88" i="12" s="1"/>
  <c r="H87" i="12"/>
  <c r="G87" i="12"/>
  <c r="D87" i="12"/>
  <c r="D91" i="12" s="1"/>
  <c r="C87" i="12"/>
  <c r="C91" i="12" s="1"/>
  <c r="I86" i="12"/>
  <c r="H86" i="12"/>
  <c r="H91" i="12" s="1"/>
  <c r="G86" i="12"/>
  <c r="G91" i="12" s="1"/>
  <c r="D86" i="12"/>
  <c r="C86" i="12"/>
  <c r="E86" i="12" s="1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89" i="12" s="1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90" i="12" s="1"/>
  <c r="I45" i="12"/>
  <c r="I44" i="12"/>
  <c r="I87" i="12" s="1"/>
  <c r="I43" i="12"/>
  <c r="I88" i="12" s="1"/>
  <c r="I38" i="12"/>
  <c r="H38" i="12"/>
  <c r="G38" i="12"/>
  <c r="D38" i="12"/>
  <c r="C38" i="12"/>
  <c r="E38" i="12" s="1"/>
  <c r="J37" i="12"/>
  <c r="I37" i="12"/>
  <c r="H37" i="12"/>
  <c r="G37" i="12"/>
  <c r="D37" i="12"/>
  <c r="C37" i="12"/>
  <c r="I36" i="12"/>
  <c r="H36" i="12"/>
  <c r="G36" i="12"/>
  <c r="D36" i="12"/>
  <c r="C36" i="12"/>
  <c r="E36" i="12" s="1"/>
  <c r="I35" i="12"/>
  <c r="H35" i="12"/>
  <c r="G35" i="12"/>
  <c r="D35" i="12"/>
  <c r="C35" i="12"/>
  <c r="E35" i="12" s="1"/>
  <c r="J34" i="12"/>
  <c r="I34" i="12"/>
  <c r="H34" i="12"/>
  <c r="G34" i="12"/>
  <c r="D34" i="12"/>
  <c r="C34" i="12"/>
  <c r="E34" i="12" s="1"/>
  <c r="I33" i="12"/>
  <c r="H33" i="12"/>
  <c r="G33" i="12"/>
  <c r="D33" i="12"/>
  <c r="C33" i="12"/>
  <c r="E33" i="12" s="1"/>
  <c r="I32" i="12"/>
  <c r="H32" i="12"/>
  <c r="G32" i="12"/>
  <c r="D32" i="12"/>
  <c r="C32" i="12"/>
  <c r="J31" i="12"/>
  <c r="I31" i="12"/>
  <c r="H31" i="12"/>
  <c r="G31" i="12"/>
  <c r="D31" i="12"/>
  <c r="C31" i="12"/>
  <c r="E31" i="12" s="1"/>
  <c r="J30" i="12"/>
  <c r="I30" i="12"/>
  <c r="H30" i="12"/>
  <c r="G30" i="12"/>
  <c r="D30" i="12"/>
  <c r="C30" i="12"/>
  <c r="E30" i="12" s="1"/>
  <c r="I29" i="12"/>
  <c r="H29" i="12"/>
  <c r="G29" i="12"/>
  <c r="D29" i="12"/>
  <c r="C29" i="12"/>
  <c r="E29" i="12" s="1"/>
  <c r="J28" i="12"/>
  <c r="I28" i="12"/>
  <c r="H28" i="12"/>
  <c r="G28" i="12"/>
  <c r="G39" i="12" s="1"/>
  <c r="D28" i="12"/>
  <c r="C28" i="12"/>
  <c r="J26" i="12"/>
  <c r="J32" i="12" s="1"/>
  <c r="J25" i="12"/>
  <c r="J24" i="12"/>
  <c r="J23" i="12"/>
  <c r="J22" i="12"/>
  <c r="J21" i="12"/>
  <c r="J20" i="12"/>
  <c r="J19" i="12"/>
  <c r="J18" i="12"/>
  <c r="J17" i="12"/>
  <c r="J16" i="12"/>
  <c r="J29" i="12" s="1"/>
  <c r="J15" i="12"/>
  <c r="J14" i="12"/>
  <c r="J35" i="12" s="1"/>
  <c r="J13" i="12"/>
  <c r="J36" i="12" s="1"/>
  <c r="J12" i="12"/>
  <c r="J33" i="12" s="1"/>
  <c r="J11" i="12"/>
  <c r="J38" i="12" s="1"/>
  <c r="J10" i="12"/>
  <c r="J9" i="12"/>
  <c r="J8" i="12"/>
  <c r="J7" i="12"/>
  <c r="G209" i="14" l="1"/>
  <c r="D209" i="14"/>
  <c r="C209" i="14"/>
  <c r="E206" i="14"/>
  <c r="E39" i="14"/>
  <c r="E209" i="14" s="1"/>
  <c r="I209" i="14"/>
  <c r="E202" i="13"/>
  <c r="E204" i="13"/>
  <c r="D206" i="13"/>
  <c r="E201" i="13"/>
  <c r="E203" i="13"/>
  <c r="E205" i="13"/>
  <c r="I200" i="13"/>
  <c r="I206" i="13" s="1"/>
  <c r="G206" i="13"/>
  <c r="D91" i="13"/>
  <c r="E87" i="13"/>
  <c r="E91" i="13" s="1"/>
  <c r="E90" i="13"/>
  <c r="I39" i="13"/>
  <c r="J35" i="13"/>
  <c r="J39" i="13" s="1"/>
  <c r="H39" i="13"/>
  <c r="D39" i="13"/>
  <c r="E35" i="13"/>
  <c r="C39" i="13"/>
  <c r="E32" i="13"/>
  <c r="E36" i="13"/>
  <c r="E38" i="13"/>
  <c r="E34" i="13"/>
  <c r="I91" i="13"/>
  <c r="H209" i="13"/>
  <c r="C206" i="13"/>
  <c r="E30" i="13"/>
  <c r="E39" i="13" s="1"/>
  <c r="I39" i="12"/>
  <c r="H39" i="12"/>
  <c r="D39" i="12"/>
  <c r="D209" i="12" s="1"/>
  <c r="E32" i="12"/>
  <c r="C39" i="12"/>
  <c r="E28" i="12"/>
  <c r="E39" i="12" s="1"/>
  <c r="E209" i="12" s="1"/>
  <c r="E37" i="12"/>
  <c r="I91" i="12"/>
  <c r="H209" i="12"/>
  <c r="E206" i="12"/>
  <c r="J39" i="12"/>
  <c r="I209" i="12" s="1"/>
  <c r="G209" i="12"/>
  <c r="I206" i="12"/>
  <c r="E87" i="12"/>
  <c r="E91" i="12" s="1"/>
  <c r="C206" i="12"/>
  <c r="H205" i="11"/>
  <c r="G205" i="11"/>
  <c r="D205" i="11"/>
  <c r="C205" i="11"/>
  <c r="E205" i="11" s="1"/>
  <c r="H204" i="11"/>
  <c r="G204" i="11"/>
  <c r="D204" i="11"/>
  <c r="C204" i="11"/>
  <c r="E204" i="11" s="1"/>
  <c r="H203" i="11"/>
  <c r="G203" i="11"/>
  <c r="D203" i="11"/>
  <c r="E203" i="11" s="1"/>
  <c r="C203" i="11"/>
  <c r="H202" i="11"/>
  <c r="G202" i="11"/>
  <c r="D202" i="11"/>
  <c r="C202" i="11"/>
  <c r="E202" i="11" s="1"/>
  <c r="H201" i="11"/>
  <c r="G201" i="11"/>
  <c r="D201" i="11"/>
  <c r="C201" i="11"/>
  <c r="E201" i="11" s="1"/>
  <c r="H200" i="11"/>
  <c r="H206" i="11" s="1"/>
  <c r="G200" i="11"/>
  <c r="D200" i="11"/>
  <c r="D206" i="11" s="1"/>
  <c r="C200" i="11"/>
  <c r="C206" i="11" s="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205" i="11" s="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203" i="11" s="1"/>
  <c r="I98" i="11"/>
  <c r="I97" i="11"/>
  <c r="I204" i="11" s="1"/>
  <c r="I96" i="11"/>
  <c r="I201" i="11" s="1"/>
  <c r="I95" i="11"/>
  <c r="H90" i="11"/>
  <c r="G90" i="11"/>
  <c r="D90" i="11"/>
  <c r="C90" i="11"/>
  <c r="H89" i="11"/>
  <c r="G89" i="11"/>
  <c r="D89" i="11"/>
  <c r="C89" i="11"/>
  <c r="H88" i="11"/>
  <c r="G88" i="11"/>
  <c r="D88" i="11"/>
  <c r="C88" i="11"/>
  <c r="H87" i="11"/>
  <c r="G87" i="11"/>
  <c r="D87" i="11"/>
  <c r="C87" i="11"/>
  <c r="I86" i="11"/>
  <c r="H86" i="11"/>
  <c r="G86" i="11"/>
  <c r="D86" i="11"/>
  <c r="C86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89" i="11" s="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90" i="11" s="1"/>
  <c r="I45" i="11"/>
  <c r="I44" i="11"/>
  <c r="I87" i="11" s="1"/>
  <c r="I43" i="11"/>
  <c r="I38" i="11"/>
  <c r="H38" i="11"/>
  <c r="G38" i="11"/>
  <c r="D38" i="11"/>
  <c r="C38" i="11"/>
  <c r="E38" i="11" s="1"/>
  <c r="I37" i="11"/>
  <c r="H37" i="11"/>
  <c r="G37" i="11"/>
  <c r="D37" i="11"/>
  <c r="C37" i="11"/>
  <c r="E37" i="11" s="1"/>
  <c r="I36" i="11"/>
  <c r="H36" i="11"/>
  <c r="G36" i="11"/>
  <c r="D36" i="11"/>
  <c r="C36" i="11"/>
  <c r="E36" i="11" s="1"/>
  <c r="I35" i="11"/>
  <c r="H35" i="11"/>
  <c r="G35" i="11"/>
  <c r="E35" i="11"/>
  <c r="D35" i="11"/>
  <c r="C35" i="11"/>
  <c r="J34" i="11"/>
  <c r="I34" i="11"/>
  <c r="H34" i="11"/>
  <c r="G34" i="11"/>
  <c r="D34" i="11"/>
  <c r="C34" i="11"/>
  <c r="E34" i="11" s="1"/>
  <c r="I33" i="11"/>
  <c r="H33" i="11"/>
  <c r="G33" i="11"/>
  <c r="D33" i="11"/>
  <c r="C33" i="11"/>
  <c r="E33" i="11" s="1"/>
  <c r="I32" i="11"/>
  <c r="H32" i="11"/>
  <c r="G32" i="11"/>
  <c r="E32" i="11"/>
  <c r="D32" i="11"/>
  <c r="C32" i="11"/>
  <c r="J31" i="11"/>
  <c r="I31" i="11"/>
  <c r="H31" i="11"/>
  <c r="G31" i="11"/>
  <c r="D31" i="11"/>
  <c r="E31" i="11" s="1"/>
  <c r="C31" i="11"/>
  <c r="J30" i="11"/>
  <c r="I30" i="11"/>
  <c r="H30" i="11"/>
  <c r="G30" i="11"/>
  <c r="D30" i="11"/>
  <c r="C30" i="11"/>
  <c r="E30" i="11" s="1"/>
  <c r="I29" i="11"/>
  <c r="H29" i="11"/>
  <c r="G29" i="11"/>
  <c r="D29" i="11"/>
  <c r="C29" i="11"/>
  <c r="E29" i="11" s="1"/>
  <c r="J28" i="11"/>
  <c r="I28" i="11"/>
  <c r="I39" i="11" s="1"/>
  <c r="H28" i="11"/>
  <c r="H39" i="11" s="1"/>
  <c r="G28" i="11"/>
  <c r="G39" i="11" s="1"/>
  <c r="D28" i="11"/>
  <c r="D39" i="11" s="1"/>
  <c r="C28" i="11"/>
  <c r="C39" i="11" s="1"/>
  <c r="J26" i="11"/>
  <c r="J32" i="11" s="1"/>
  <c r="J25" i="11"/>
  <c r="J24" i="11"/>
  <c r="J23" i="11"/>
  <c r="J22" i="11"/>
  <c r="J21" i="11"/>
  <c r="J20" i="11"/>
  <c r="J19" i="11"/>
  <c r="J18" i="11"/>
  <c r="J17" i="11"/>
  <c r="J16" i="11"/>
  <c r="J29" i="11" s="1"/>
  <c r="J15" i="11"/>
  <c r="J14" i="11"/>
  <c r="J35" i="11" s="1"/>
  <c r="J13" i="11"/>
  <c r="J36" i="11" s="1"/>
  <c r="J12" i="11"/>
  <c r="J33" i="11" s="1"/>
  <c r="J11" i="11"/>
  <c r="J38" i="11" s="1"/>
  <c r="J10" i="11"/>
  <c r="J9" i="11"/>
  <c r="J8" i="11"/>
  <c r="J37" i="11" s="1"/>
  <c r="J7" i="11"/>
  <c r="E206" i="13" l="1"/>
  <c r="E209" i="13" s="1"/>
  <c r="C209" i="13"/>
  <c r="G209" i="13"/>
  <c r="I209" i="13"/>
  <c r="D209" i="13"/>
  <c r="C209" i="12"/>
  <c r="I202" i="11"/>
  <c r="G206" i="11"/>
  <c r="I200" i="11"/>
  <c r="I206" i="11" s="1"/>
  <c r="E90" i="11"/>
  <c r="G91" i="11"/>
  <c r="G209" i="11" s="1"/>
  <c r="I88" i="11"/>
  <c r="I91" i="11" s="1"/>
  <c r="H91" i="11"/>
  <c r="E88" i="11"/>
  <c r="C91" i="11"/>
  <c r="C209" i="11" s="1"/>
  <c r="D91" i="11"/>
  <c r="D209" i="11" s="1"/>
  <c r="E89" i="11"/>
  <c r="E87" i="11"/>
  <c r="E86" i="11"/>
  <c r="H209" i="11"/>
  <c r="J39" i="11"/>
  <c r="E28" i="11"/>
  <c r="E39" i="11" s="1"/>
  <c r="E200" i="11"/>
  <c r="E206" i="11" s="1"/>
  <c r="J17" i="10"/>
  <c r="E91" i="11" l="1"/>
  <c r="E209" i="11" s="1"/>
  <c r="I209" i="11"/>
  <c r="H205" i="10"/>
  <c r="G205" i="10"/>
  <c r="D205" i="10"/>
  <c r="C205" i="10"/>
  <c r="E205" i="10" s="1"/>
  <c r="H204" i="10"/>
  <c r="G204" i="10"/>
  <c r="D204" i="10"/>
  <c r="C204" i="10"/>
  <c r="E204" i="10" s="1"/>
  <c r="H203" i="10"/>
  <c r="G203" i="10"/>
  <c r="D203" i="10"/>
  <c r="C203" i="10"/>
  <c r="E203" i="10" s="1"/>
  <c r="H202" i="10"/>
  <c r="G202" i="10"/>
  <c r="D202" i="10"/>
  <c r="C202" i="10"/>
  <c r="E202" i="10" s="1"/>
  <c r="H201" i="10"/>
  <c r="G201" i="10"/>
  <c r="D201" i="10"/>
  <c r="C201" i="10"/>
  <c r="E201" i="10" s="1"/>
  <c r="H200" i="10"/>
  <c r="H206" i="10" s="1"/>
  <c r="G200" i="10"/>
  <c r="G206" i="10" s="1"/>
  <c r="D200" i="10"/>
  <c r="D206" i="10" s="1"/>
  <c r="C200" i="10"/>
  <c r="E200" i="10" s="1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205" i="10" s="1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203" i="10" s="1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202" i="10" s="1"/>
  <c r="I101" i="10"/>
  <c r="I100" i="10"/>
  <c r="I99" i="10"/>
  <c r="I98" i="10"/>
  <c r="I97" i="10"/>
  <c r="I204" i="10" s="1"/>
  <c r="I96" i="10"/>
  <c r="I201" i="10" s="1"/>
  <c r="I95" i="10"/>
  <c r="I200" i="10" s="1"/>
  <c r="I206" i="10" s="1"/>
  <c r="H90" i="10"/>
  <c r="G90" i="10"/>
  <c r="D90" i="10"/>
  <c r="C90" i="10"/>
  <c r="E90" i="10" s="1"/>
  <c r="H89" i="10"/>
  <c r="G89" i="10"/>
  <c r="D89" i="10"/>
  <c r="C89" i="10"/>
  <c r="E89" i="10" s="1"/>
  <c r="H88" i="10"/>
  <c r="G88" i="10"/>
  <c r="D88" i="10"/>
  <c r="C88" i="10"/>
  <c r="E88" i="10" s="1"/>
  <c r="H87" i="10"/>
  <c r="G87" i="10"/>
  <c r="D87" i="10"/>
  <c r="D91" i="10" s="1"/>
  <c r="C87" i="10"/>
  <c r="I86" i="10"/>
  <c r="H86" i="10"/>
  <c r="G86" i="10"/>
  <c r="D86" i="10"/>
  <c r="C86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89" i="10" s="1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90" i="10" s="1"/>
  <c r="I45" i="10"/>
  <c r="I44" i="10"/>
  <c r="I43" i="10"/>
  <c r="I38" i="10"/>
  <c r="H38" i="10"/>
  <c r="G38" i="10"/>
  <c r="D38" i="10"/>
  <c r="C38" i="10"/>
  <c r="I37" i="10"/>
  <c r="H37" i="10"/>
  <c r="G37" i="10"/>
  <c r="D37" i="10"/>
  <c r="C37" i="10"/>
  <c r="I36" i="10"/>
  <c r="H36" i="10"/>
  <c r="G36" i="10"/>
  <c r="D36" i="10"/>
  <c r="C36" i="10"/>
  <c r="I35" i="10"/>
  <c r="H35" i="10"/>
  <c r="G35" i="10"/>
  <c r="D35" i="10"/>
  <c r="C35" i="10"/>
  <c r="J34" i="10"/>
  <c r="I34" i="10"/>
  <c r="H34" i="10"/>
  <c r="G34" i="10"/>
  <c r="D34" i="10"/>
  <c r="C34" i="10"/>
  <c r="I33" i="10"/>
  <c r="H33" i="10"/>
  <c r="G33" i="10"/>
  <c r="D33" i="10"/>
  <c r="C33" i="10"/>
  <c r="I32" i="10"/>
  <c r="H32" i="10"/>
  <c r="G32" i="10"/>
  <c r="D32" i="10"/>
  <c r="C32" i="10"/>
  <c r="J31" i="10"/>
  <c r="I31" i="10"/>
  <c r="H31" i="10"/>
  <c r="G31" i="10"/>
  <c r="D31" i="10"/>
  <c r="C31" i="10"/>
  <c r="J30" i="10"/>
  <c r="I30" i="10"/>
  <c r="H30" i="10"/>
  <c r="G30" i="10"/>
  <c r="D30" i="10"/>
  <c r="C30" i="10"/>
  <c r="I29" i="10"/>
  <c r="H29" i="10"/>
  <c r="G29" i="10"/>
  <c r="D29" i="10"/>
  <c r="C29" i="10"/>
  <c r="I28" i="10"/>
  <c r="H28" i="10"/>
  <c r="G28" i="10"/>
  <c r="D28" i="10"/>
  <c r="C28" i="10"/>
  <c r="J26" i="10"/>
  <c r="J32" i="10" s="1"/>
  <c r="J25" i="10"/>
  <c r="J24" i="10"/>
  <c r="J23" i="10"/>
  <c r="J22" i="10"/>
  <c r="J21" i="10"/>
  <c r="J20" i="10"/>
  <c r="J19" i="10"/>
  <c r="J18" i="10"/>
  <c r="J16" i="10"/>
  <c r="J29" i="10" s="1"/>
  <c r="J15" i="10"/>
  <c r="J14" i="10"/>
  <c r="J13" i="10"/>
  <c r="J36" i="10" s="1"/>
  <c r="J12" i="10"/>
  <c r="J11" i="10"/>
  <c r="J38" i="10" s="1"/>
  <c r="J10" i="10"/>
  <c r="J9" i="10"/>
  <c r="J8" i="10"/>
  <c r="J7" i="10"/>
  <c r="J28" i="10" s="1"/>
  <c r="E86" i="10" l="1"/>
  <c r="I88" i="10"/>
  <c r="C91" i="10"/>
  <c r="H91" i="10"/>
  <c r="I87" i="10"/>
  <c r="I91" i="10" s="1"/>
  <c r="G91" i="10"/>
  <c r="E37" i="10"/>
  <c r="G39" i="10"/>
  <c r="J37" i="10"/>
  <c r="J35" i="10"/>
  <c r="J33" i="10"/>
  <c r="H39" i="10"/>
  <c r="E35" i="10"/>
  <c r="E31" i="10"/>
  <c r="E34" i="10"/>
  <c r="I39" i="10"/>
  <c r="E33" i="10"/>
  <c r="E38" i="10"/>
  <c r="E36" i="10"/>
  <c r="E30" i="10"/>
  <c r="E32" i="10"/>
  <c r="E29" i="10"/>
  <c r="C39" i="10"/>
  <c r="D39" i="10"/>
  <c r="D209" i="10" s="1"/>
  <c r="E28" i="10"/>
  <c r="E206" i="10"/>
  <c r="E87" i="10"/>
  <c r="E91" i="10" s="1"/>
  <c r="C206" i="10"/>
  <c r="I43" i="9"/>
  <c r="H204" i="9"/>
  <c r="G204" i="9"/>
  <c r="D204" i="9"/>
  <c r="C204" i="9"/>
  <c r="H203" i="9"/>
  <c r="G203" i="9"/>
  <c r="D203" i="9"/>
  <c r="C203" i="9"/>
  <c r="H202" i="9"/>
  <c r="G202" i="9"/>
  <c r="D202" i="9"/>
  <c r="C202" i="9"/>
  <c r="H201" i="9"/>
  <c r="G201" i="9"/>
  <c r="D201" i="9"/>
  <c r="C201" i="9"/>
  <c r="H200" i="9"/>
  <c r="G200" i="9"/>
  <c r="D200" i="9"/>
  <c r="C200" i="9"/>
  <c r="H199" i="9"/>
  <c r="G199" i="9"/>
  <c r="D199" i="9"/>
  <c r="C199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204" i="9" s="1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201" i="9" s="1"/>
  <c r="I102" i="9"/>
  <c r="I101" i="9"/>
  <c r="I100" i="9"/>
  <c r="I99" i="9"/>
  <c r="I98" i="9"/>
  <c r="I97" i="9"/>
  <c r="I96" i="9"/>
  <c r="I203" i="9" s="1"/>
  <c r="I95" i="9"/>
  <c r="I94" i="9"/>
  <c r="H89" i="9"/>
  <c r="G89" i="9"/>
  <c r="D89" i="9"/>
  <c r="C89" i="9"/>
  <c r="H88" i="9"/>
  <c r="G88" i="9"/>
  <c r="D88" i="9"/>
  <c r="C88" i="9"/>
  <c r="H87" i="9"/>
  <c r="G87" i="9"/>
  <c r="D87" i="9"/>
  <c r="C87" i="9"/>
  <c r="H86" i="9"/>
  <c r="G86" i="9"/>
  <c r="D86" i="9"/>
  <c r="C86" i="9"/>
  <c r="I85" i="9"/>
  <c r="H85" i="9"/>
  <c r="G85" i="9"/>
  <c r="D85" i="9"/>
  <c r="C85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2" i="9"/>
  <c r="I37" i="9"/>
  <c r="H37" i="9"/>
  <c r="G37" i="9"/>
  <c r="D37" i="9"/>
  <c r="C37" i="9"/>
  <c r="I36" i="9"/>
  <c r="H36" i="9"/>
  <c r="G36" i="9"/>
  <c r="D36" i="9"/>
  <c r="C36" i="9"/>
  <c r="I35" i="9"/>
  <c r="H35" i="9"/>
  <c r="G35" i="9"/>
  <c r="D35" i="9"/>
  <c r="C35" i="9"/>
  <c r="I34" i="9"/>
  <c r="H34" i="9"/>
  <c r="G34" i="9"/>
  <c r="D34" i="9"/>
  <c r="C34" i="9"/>
  <c r="J33" i="9"/>
  <c r="I33" i="9"/>
  <c r="H33" i="9"/>
  <c r="G33" i="9"/>
  <c r="D33" i="9"/>
  <c r="C33" i="9"/>
  <c r="I32" i="9"/>
  <c r="H32" i="9"/>
  <c r="G32" i="9"/>
  <c r="D32" i="9"/>
  <c r="C32" i="9"/>
  <c r="I31" i="9"/>
  <c r="H31" i="9"/>
  <c r="G31" i="9"/>
  <c r="D31" i="9"/>
  <c r="C31" i="9"/>
  <c r="I30" i="9"/>
  <c r="H30" i="9"/>
  <c r="G30" i="9"/>
  <c r="D30" i="9"/>
  <c r="C30" i="9"/>
  <c r="J29" i="9"/>
  <c r="I29" i="9"/>
  <c r="H29" i="9"/>
  <c r="G29" i="9"/>
  <c r="D29" i="9"/>
  <c r="C29" i="9"/>
  <c r="I28" i="9"/>
  <c r="H28" i="9"/>
  <c r="G28" i="9"/>
  <c r="D28" i="9"/>
  <c r="C28" i="9"/>
  <c r="I27" i="9"/>
  <c r="H27" i="9"/>
  <c r="G27" i="9"/>
  <c r="D27" i="9"/>
  <c r="C27" i="9"/>
  <c r="J25" i="9"/>
  <c r="J31" i="9" s="1"/>
  <c r="J24" i="9"/>
  <c r="J23" i="9"/>
  <c r="J22" i="9"/>
  <c r="J21" i="9"/>
  <c r="J20" i="9"/>
  <c r="J19" i="9"/>
  <c r="J18" i="9"/>
  <c r="J17" i="9"/>
  <c r="J16" i="9"/>
  <c r="J28" i="9" s="1"/>
  <c r="J15" i="9"/>
  <c r="J14" i="9"/>
  <c r="J13" i="9"/>
  <c r="J12" i="9"/>
  <c r="J11" i="9"/>
  <c r="J37" i="9" s="1"/>
  <c r="J10" i="9"/>
  <c r="J9" i="9"/>
  <c r="J8" i="9"/>
  <c r="J30" i="9"/>
  <c r="J7" i="9"/>
  <c r="J27" i="9" s="1"/>
  <c r="J8" i="8"/>
  <c r="H209" i="10" l="1"/>
  <c r="G209" i="10"/>
  <c r="J39" i="10"/>
  <c r="I209" i="10" s="1"/>
  <c r="C209" i="10"/>
  <c r="E39" i="10"/>
  <c r="E209" i="10" s="1"/>
  <c r="I200" i="9"/>
  <c r="D205" i="9"/>
  <c r="E203" i="9"/>
  <c r="E201" i="9"/>
  <c r="G205" i="9"/>
  <c r="E37" i="9"/>
  <c r="E33" i="9"/>
  <c r="E87" i="9"/>
  <c r="C38" i="9"/>
  <c r="E32" i="9"/>
  <c r="E35" i="9"/>
  <c r="H38" i="9"/>
  <c r="E89" i="9"/>
  <c r="E31" i="9"/>
  <c r="D90" i="9"/>
  <c r="E85" i="9"/>
  <c r="E34" i="9"/>
  <c r="J35" i="9"/>
  <c r="G38" i="9"/>
  <c r="E29" i="9"/>
  <c r="E36" i="9"/>
  <c r="I87" i="9"/>
  <c r="E86" i="9"/>
  <c r="E88" i="9"/>
  <c r="C205" i="9"/>
  <c r="I38" i="9"/>
  <c r="G90" i="9"/>
  <c r="E28" i="9"/>
  <c r="I88" i="9"/>
  <c r="H90" i="9"/>
  <c r="H205" i="9"/>
  <c r="I89" i="9"/>
  <c r="I202" i="9"/>
  <c r="E200" i="9"/>
  <c r="E202" i="9"/>
  <c r="E204" i="9"/>
  <c r="I199" i="9"/>
  <c r="I86" i="9"/>
  <c r="E27" i="9"/>
  <c r="D38" i="9"/>
  <c r="J36" i="9"/>
  <c r="J32" i="9"/>
  <c r="J34" i="9"/>
  <c r="E30" i="9"/>
  <c r="C90" i="9"/>
  <c r="E199" i="9"/>
  <c r="H204" i="8"/>
  <c r="G204" i="8"/>
  <c r="D204" i="8"/>
  <c r="C204" i="8"/>
  <c r="H203" i="8"/>
  <c r="G203" i="8"/>
  <c r="D203" i="8"/>
  <c r="C203" i="8"/>
  <c r="H202" i="8"/>
  <c r="G202" i="8"/>
  <c r="D202" i="8"/>
  <c r="C202" i="8"/>
  <c r="H201" i="8"/>
  <c r="G201" i="8"/>
  <c r="D201" i="8"/>
  <c r="C201" i="8"/>
  <c r="H200" i="8"/>
  <c r="G200" i="8"/>
  <c r="D200" i="8"/>
  <c r="C200" i="8"/>
  <c r="H199" i="8"/>
  <c r="G199" i="8"/>
  <c r="D199" i="8"/>
  <c r="C199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204" i="8" s="1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202" i="8" s="1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H89" i="8"/>
  <c r="G89" i="8"/>
  <c r="D89" i="8"/>
  <c r="C89" i="8"/>
  <c r="H88" i="8"/>
  <c r="G88" i="8"/>
  <c r="D88" i="8"/>
  <c r="C88" i="8"/>
  <c r="H87" i="8"/>
  <c r="G87" i="8"/>
  <c r="D87" i="8"/>
  <c r="C87" i="8"/>
  <c r="H86" i="8"/>
  <c r="G86" i="8"/>
  <c r="D86" i="8"/>
  <c r="C86" i="8"/>
  <c r="I85" i="8"/>
  <c r="H85" i="8"/>
  <c r="G85" i="8"/>
  <c r="D85" i="8"/>
  <c r="C85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38" i="8"/>
  <c r="H38" i="8"/>
  <c r="G38" i="8"/>
  <c r="D38" i="8"/>
  <c r="C38" i="8"/>
  <c r="E38" i="8" s="1"/>
  <c r="I37" i="8"/>
  <c r="H37" i="8"/>
  <c r="G37" i="8"/>
  <c r="D37" i="8"/>
  <c r="C37" i="8"/>
  <c r="I36" i="8"/>
  <c r="H36" i="8"/>
  <c r="G36" i="8"/>
  <c r="D36" i="8"/>
  <c r="C36" i="8"/>
  <c r="I35" i="8"/>
  <c r="H35" i="8"/>
  <c r="G35" i="8"/>
  <c r="D35" i="8"/>
  <c r="C35" i="8"/>
  <c r="J34" i="8"/>
  <c r="I34" i="8"/>
  <c r="H34" i="8"/>
  <c r="G34" i="8"/>
  <c r="D34" i="8"/>
  <c r="C34" i="8"/>
  <c r="I33" i="8"/>
  <c r="H33" i="8"/>
  <c r="G33" i="8"/>
  <c r="D33" i="8"/>
  <c r="C33" i="8"/>
  <c r="I32" i="8"/>
  <c r="H32" i="8"/>
  <c r="G32" i="8"/>
  <c r="D32" i="8"/>
  <c r="C32" i="8"/>
  <c r="I31" i="8"/>
  <c r="H31" i="8"/>
  <c r="G31" i="8"/>
  <c r="D31" i="8"/>
  <c r="C31" i="8"/>
  <c r="E31" i="8" s="1"/>
  <c r="J30" i="8"/>
  <c r="I30" i="8"/>
  <c r="H30" i="8"/>
  <c r="G30" i="8"/>
  <c r="D30" i="8"/>
  <c r="C30" i="8"/>
  <c r="I29" i="8"/>
  <c r="H29" i="8"/>
  <c r="G29" i="8"/>
  <c r="D29" i="8"/>
  <c r="C29" i="8"/>
  <c r="E29" i="8" s="1"/>
  <c r="I28" i="8"/>
  <c r="H28" i="8"/>
  <c r="G28" i="8"/>
  <c r="D28" i="8"/>
  <c r="C28" i="8"/>
  <c r="J26" i="8"/>
  <c r="J32" i="8" s="1"/>
  <c r="J25" i="8"/>
  <c r="J24" i="8"/>
  <c r="J23" i="8"/>
  <c r="J22" i="8"/>
  <c r="J21" i="8"/>
  <c r="J20" i="8"/>
  <c r="J19" i="8"/>
  <c r="J18" i="8"/>
  <c r="J17" i="8"/>
  <c r="J29" i="8" s="1"/>
  <c r="J16" i="8"/>
  <c r="J15" i="8"/>
  <c r="J14" i="8"/>
  <c r="J13" i="8"/>
  <c r="J12" i="8"/>
  <c r="J38" i="8" s="1"/>
  <c r="J11" i="8"/>
  <c r="J10" i="8"/>
  <c r="J9" i="8"/>
  <c r="J31" i="8"/>
  <c r="J7" i="8"/>
  <c r="J28" i="8" s="1"/>
  <c r="D208" i="9" l="1"/>
  <c r="C208" i="9"/>
  <c r="I205" i="9"/>
  <c r="G208" i="9"/>
  <c r="E90" i="9"/>
  <c r="I90" i="9"/>
  <c r="E38" i="9"/>
  <c r="J38" i="9"/>
  <c r="H208" i="9"/>
  <c r="E205" i="9"/>
  <c r="E30" i="8"/>
  <c r="J33" i="8"/>
  <c r="E199" i="8"/>
  <c r="E200" i="8"/>
  <c r="E202" i="8"/>
  <c r="E37" i="8"/>
  <c r="E34" i="8"/>
  <c r="G39" i="8"/>
  <c r="I203" i="8"/>
  <c r="I39" i="8"/>
  <c r="I86" i="8"/>
  <c r="E88" i="8"/>
  <c r="E85" i="8"/>
  <c r="J36" i="8"/>
  <c r="G90" i="8"/>
  <c r="J35" i="8"/>
  <c r="I87" i="8"/>
  <c r="I88" i="8"/>
  <c r="J37" i="8"/>
  <c r="I89" i="8"/>
  <c r="H205" i="8"/>
  <c r="I201" i="8"/>
  <c r="E203" i="8"/>
  <c r="D205" i="8"/>
  <c r="E201" i="8"/>
  <c r="E204" i="8"/>
  <c r="I200" i="8"/>
  <c r="G205" i="8"/>
  <c r="I199" i="8"/>
  <c r="E86" i="8"/>
  <c r="E89" i="8"/>
  <c r="D90" i="8"/>
  <c r="H90" i="8"/>
  <c r="E87" i="8"/>
  <c r="C90" i="8"/>
  <c r="H39" i="8"/>
  <c r="C39" i="8"/>
  <c r="E33" i="8"/>
  <c r="E35" i="8"/>
  <c r="E32" i="8"/>
  <c r="E36" i="8"/>
  <c r="D39" i="8"/>
  <c r="C205" i="8"/>
  <c r="E28" i="8"/>
  <c r="H204" i="7"/>
  <c r="G204" i="7"/>
  <c r="D204" i="7"/>
  <c r="C204" i="7"/>
  <c r="H203" i="7"/>
  <c r="G203" i="7"/>
  <c r="D203" i="7"/>
  <c r="C203" i="7"/>
  <c r="H202" i="7"/>
  <c r="G202" i="7"/>
  <c r="D202" i="7"/>
  <c r="C202" i="7"/>
  <c r="H201" i="7"/>
  <c r="G201" i="7"/>
  <c r="D201" i="7"/>
  <c r="C201" i="7"/>
  <c r="H200" i="7"/>
  <c r="G200" i="7"/>
  <c r="D200" i="7"/>
  <c r="C200" i="7"/>
  <c r="H199" i="7"/>
  <c r="G199" i="7"/>
  <c r="D199" i="7"/>
  <c r="C199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204" i="7" s="1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203" i="7" s="1"/>
  <c r="I95" i="7"/>
  <c r="I94" i="7"/>
  <c r="H89" i="7"/>
  <c r="G89" i="7"/>
  <c r="D89" i="7"/>
  <c r="C89" i="7"/>
  <c r="H88" i="7"/>
  <c r="G88" i="7"/>
  <c r="D88" i="7"/>
  <c r="C88" i="7"/>
  <c r="H87" i="7"/>
  <c r="G87" i="7"/>
  <c r="D87" i="7"/>
  <c r="C87" i="7"/>
  <c r="E87" i="7" s="1"/>
  <c r="H86" i="7"/>
  <c r="G86" i="7"/>
  <c r="D86" i="7"/>
  <c r="C86" i="7"/>
  <c r="I85" i="7"/>
  <c r="H85" i="7"/>
  <c r="G85" i="7"/>
  <c r="D85" i="7"/>
  <c r="C85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38" i="7"/>
  <c r="H38" i="7"/>
  <c r="G38" i="7"/>
  <c r="D38" i="7"/>
  <c r="C38" i="7"/>
  <c r="E38" i="7" s="1"/>
  <c r="I37" i="7"/>
  <c r="H37" i="7"/>
  <c r="G37" i="7"/>
  <c r="D37" i="7"/>
  <c r="C37" i="7"/>
  <c r="E37" i="7" s="1"/>
  <c r="I36" i="7"/>
  <c r="H36" i="7"/>
  <c r="G36" i="7"/>
  <c r="D36" i="7"/>
  <c r="C36" i="7"/>
  <c r="I35" i="7"/>
  <c r="H35" i="7"/>
  <c r="G35" i="7"/>
  <c r="D35" i="7"/>
  <c r="C35" i="7"/>
  <c r="J34" i="7"/>
  <c r="I34" i="7"/>
  <c r="H34" i="7"/>
  <c r="G34" i="7"/>
  <c r="D34" i="7"/>
  <c r="C34" i="7"/>
  <c r="I33" i="7"/>
  <c r="H33" i="7"/>
  <c r="G33" i="7"/>
  <c r="D33" i="7"/>
  <c r="C33" i="7"/>
  <c r="I32" i="7"/>
  <c r="H32" i="7"/>
  <c r="G32" i="7"/>
  <c r="D32" i="7"/>
  <c r="C32" i="7"/>
  <c r="I31" i="7"/>
  <c r="H31" i="7"/>
  <c r="G31" i="7"/>
  <c r="D31" i="7"/>
  <c r="C31" i="7"/>
  <c r="J30" i="7"/>
  <c r="I30" i="7"/>
  <c r="H30" i="7"/>
  <c r="G30" i="7"/>
  <c r="D30" i="7"/>
  <c r="C30" i="7"/>
  <c r="I29" i="7"/>
  <c r="H29" i="7"/>
  <c r="G29" i="7"/>
  <c r="D29" i="7"/>
  <c r="C29" i="7"/>
  <c r="E29" i="7" s="1"/>
  <c r="I28" i="7"/>
  <c r="H28" i="7"/>
  <c r="G28" i="7"/>
  <c r="D28" i="7"/>
  <c r="C28" i="7"/>
  <c r="J26" i="7"/>
  <c r="J32" i="7" s="1"/>
  <c r="J25" i="7"/>
  <c r="J24" i="7"/>
  <c r="J23" i="7"/>
  <c r="J22" i="7"/>
  <c r="J21" i="7"/>
  <c r="J20" i="7"/>
  <c r="J19" i="7"/>
  <c r="J18" i="7"/>
  <c r="J17" i="7"/>
  <c r="J29" i="7" s="1"/>
  <c r="J16" i="7"/>
  <c r="J15" i="7"/>
  <c r="J14" i="7"/>
  <c r="J13" i="7"/>
  <c r="J12" i="7"/>
  <c r="J38" i="7" s="1"/>
  <c r="J11" i="7"/>
  <c r="J10" i="7"/>
  <c r="J9" i="7"/>
  <c r="J8" i="7"/>
  <c r="J31" i="7" s="1"/>
  <c r="J7" i="7"/>
  <c r="J28" i="7" s="1"/>
  <c r="H204" i="6"/>
  <c r="G204" i="6"/>
  <c r="D204" i="6"/>
  <c r="C204" i="6"/>
  <c r="H203" i="6"/>
  <c r="G203" i="6"/>
  <c r="D203" i="6"/>
  <c r="C203" i="6"/>
  <c r="H202" i="6"/>
  <c r="G202" i="6"/>
  <c r="D202" i="6"/>
  <c r="C202" i="6"/>
  <c r="H201" i="6"/>
  <c r="G201" i="6"/>
  <c r="D201" i="6"/>
  <c r="C201" i="6"/>
  <c r="H200" i="6"/>
  <c r="G200" i="6"/>
  <c r="D200" i="6"/>
  <c r="C200" i="6"/>
  <c r="E200" i="6" s="1"/>
  <c r="H199" i="6"/>
  <c r="G199" i="6"/>
  <c r="D199" i="6"/>
  <c r="C199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204" i="6" s="1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203" i="6" s="1"/>
  <c r="I95" i="6"/>
  <c r="I200" i="6" s="1"/>
  <c r="I94" i="6"/>
  <c r="H89" i="6"/>
  <c r="G89" i="6"/>
  <c r="D89" i="6"/>
  <c r="C89" i="6"/>
  <c r="H88" i="6"/>
  <c r="G88" i="6"/>
  <c r="D88" i="6"/>
  <c r="C88" i="6"/>
  <c r="E88" i="6" s="1"/>
  <c r="H87" i="6"/>
  <c r="G87" i="6"/>
  <c r="D87" i="6"/>
  <c r="C87" i="6"/>
  <c r="H86" i="6"/>
  <c r="G86" i="6"/>
  <c r="D86" i="6"/>
  <c r="C86" i="6"/>
  <c r="I85" i="6"/>
  <c r="H85" i="6"/>
  <c r="G85" i="6"/>
  <c r="D85" i="6"/>
  <c r="C85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38" i="6"/>
  <c r="H38" i="6"/>
  <c r="G38" i="6"/>
  <c r="D38" i="6"/>
  <c r="C38" i="6"/>
  <c r="E38" i="6" s="1"/>
  <c r="I37" i="6"/>
  <c r="H37" i="6"/>
  <c r="G37" i="6"/>
  <c r="D37" i="6"/>
  <c r="C37" i="6"/>
  <c r="E37" i="6" s="1"/>
  <c r="I36" i="6"/>
  <c r="H36" i="6"/>
  <c r="G36" i="6"/>
  <c r="D36" i="6"/>
  <c r="C36" i="6"/>
  <c r="I35" i="6"/>
  <c r="H35" i="6"/>
  <c r="G35" i="6"/>
  <c r="D35" i="6"/>
  <c r="C35" i="6"/>
  <c r="E35" i="6" s="1"/>
  <c r="J34" i="6"/>
  <c r="I34" i="6"/>
  <c r="H34" i="6"/>
  <c r="G34" i="6"/>
  <c r="D34" i="6"/>
  <c r="C34" i="6"/>
  <c r="I33" i="6"/>
  <c r="H33" i="6"/>
  <c r="G33" i="6"/>
  <c r="D33" i="6"/>
  <c r="C33" i="6"/>
  <c r="I32" i="6"/>
  <c r="H32" i="6"/>
  <c r="G32" i="6"/>
  <c r="D32" i="6"/>
  <c r="C32" i="6"/>
  <c r="I31" i="6"/>
  <c r="H31" i="6"/>
  <c r="G31" i="6"/>
  <c r="D31" i="6"/>
  <c r="C31" i="6"/>
  <c r="J30" i="6"/>
  <c r="I30" i="6"/>
  <c r="H30" i="6"/>
  <c r="G30" i="6"/>
  <c r="D30" i="6"/>
  <c r="C30" i="6"/>
  <c r="I29" i="6"/>
  <c r="H29" i="6"/>
  <c r="G29" i="6"/>
  <c r="D29" i="6"/>
  <c r="C29" i="6"/>
  <c r="I28" i="6"/>
  <c r="H28" i="6"/>
  <c r="G28" i="6"/>
  <c r="D28" i="6"/>
  <c r="C28" i="6"/>
  <c r="J26" i="6"/>
  <c r="J32" i="6" s="1"/>
  <c r="J25" i="6"/>
  <c r="J24" i="6"/>
  <c r="J23" i="6"/>
  <c r="J22" i="6"/>
  <c r="J21" i="6"/>
  <c r="J20" i="6"/>
  <c r="J19" i="6"/>
  <c r="J18" i="6"/>
  <c r="J17" i="6"/>
  <c r="J29" i="6" s="1"/>
  <c r="J16" i="6"/>
  <c r="J15" i="6"/>
  <c r="J14" i="6"/>
  <c r="J13" i="6"/>
  <c r="J12" i="6"/>
  <c r="J38" i="6" s="1"/>
  <c r="J11" i="6"/>
  <c r="J10" i="6"/>
  <c r="J9" i="6"/>
  <c r="J8" i="6"/>
  <c r="J31" i="6" s="1"/>
  <c r="J7" i="6"/>
  <c r="J28" i="6" s="1"/>
  <c r="H204" i="1"/>
  <c r="H203" i="1"/>
  <c r="H202" i="1"/>
  <c r="H201" i="1"/>
  <c r="H200" i="1"/>
  <c r="H199" i="1"/>
  <c r="I97" i="1"/>
  <c r="I98" i="1"/>
  <c r="I202" i="1" s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204" i="1" s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J11" i="1"/>
  <c r="J12" i="1"/>
  <c r="J13" i="1"/>
  <c r="J14" i="1"/>
  <c r="J15" i="1"/>
  <c r="J16" i="1"/>
  <c r="J17" i="1"/>
  <c r="J18" i="1"/>
  <c r="J19" i="1"/>
  <c r="J20" i="1"/>
  <c r="E208" i="9" l="1"/>
  <c r="I208" i="9"/>
  <c r="H208" i="8"/>
  <c r="J39" i="8"/>
  <c r="I90" i="8"/>
  <c r="G208" i="8"/>
  <c r="E90" i="8"/>
  <c r="E205" i="8"/>
  <c r="C208" i="8"/>
  <c r="I205" i="8"/>
  <c r="D208" i="8"/>
  <c r="E39" i="8"/>
  <c r="D39" i="6"/>
  <c r="E87" i="6"/>
  <c r="E33" i="6"/>
  <c r="I88" i="6"/>
  <c r="J37" i="6"/>
  <c r="E34" i="6"/>
  <c r="J36" i="6"/>
  <c r="I87" i="6"/>
  <c r="D205" i="7"/>
  <c r="D90" i="7"/>
  <c r="I201" i="7"/>
  <c r="J36" i="7"/>
  <c r="C90" i="7"/>
  <c r="I88" i="7"/>
  <c r="E201" i="7"/>
  <c r="E204" i="7"/>
  <c r="E36" i="7"/>
  <c r="I199" i="7"/>
  <c r="I200" i="7"/>
  <c r="I202" i="7"/>
  <c r="E200" i="7"/>
  <c r="I87" i="7"/>
  <c r="I89" i="7"/>
  <c r="I86" i="7"/>
  <c r="I90" i="7" s="1"/>
  <c r="E88" i="7"/>
  <c r="J33" i="7"/>
  <c r="J37" i="7"/>
  <c r="J35" i="7"/>
  <c r="E30" i="7"/>
  <c r="E28" i="7"/>
  <c r="E39" i="7" s="1"/>
  <c r="E33" i="7"/>
  <c r="E34" i="7"/>
  <c r="E199" i="7"/>
  <c r="E202" i="7"/>
  <c r="E203" i="7"/>
  <c r="G205" i="7"/>
  <c r="H205" i="7"/>
  <c r="E89" i="7"/>
  <c r="E85" i="7"/>
  <c r="G90" i="7"/>
  <c r="H90" i="7"/>
  <c r="E32" i="7"/>
  <c r="D39" i="7"/>
  <c r="D208" i="7" s="1"/>
  <c r="G39" i="7"/>
  <c r="E35" i="7"/>
  <c r="H39" i="7"/>
  <c r="I39" i="7"/>
  <c r="E31" i="7"/>
  <c r="E86" i="7"/>
  <c r="C205" i="7"/>
  <c r="C39" i="7"/>
  <c r="C208" i="7" s="1"/>
  <c r="I199" i="6"/>
  <c r="I202" i="6"/>
  <c r="I201" i="6"/>
  <c r="E201" i="6"/>
  <c r="E204" i="6"/>
  <c r="D205" i="6"/>
  <c r="G205" i="6"/>
  <c r="I86" i="6"/>
  <c r="I89" i="6"/>
  <c r="D90" i="6"/>
  <c r="E85" i="6"/>
  <c r="J35" i="6"/>
  <c r="J33" i="6"/>
  <c r="J39" i="6" s="1"/>
  <c r="E31" i="6"/>
  <c r="E36" i="6"/>
  <c r="E199" i="6"/>
  <c r="E202" i="6"/>
  <c r="H205" i="6"/>
  <c r="E203" i="6"/>
  <c r="H90" i="6"/>
  <c r="E89" i="6"/>
  <c r="G90" i="6"/>
  <c r="C90" i="6"/>
  <c r="H39" i="6"/>
  <c r="I39" i="6"/>
  <c r="E29" i="6"/>
  <c r="G39" i="6"/>
  <c r="C39" i="6"/>
  <c r="E32" i="6"/>
  <c r="D208" i="6"/>
  <c r="E86" i="6"/>
  <c r="C205" i="6"/>
  <c r="E28" i="6"/>
  <c r="E30" i="6"/>
  <c r="I208" i="8" l="1"/>
  <c r="E208" i="8"/>
  <c r="E90" i="6"/>
  <c r="I205" i="6"/>
  <c r="I208" i="6" s="1"/>
  <c r="G208" i="6"/>
  <c r="I90" i="6"/>
  <c r="J39" i="7"/>
  <c r="E90" i="7"/>
  <c r="I205" i="7"/>
  <c r="E205" i="7"/>
  <c r="H208" i="7"/>
  <c r="G208" i="7"/>
  <c r="I208" i="7"/>
  <c r="E208" i="7"/>
  <c r="C208" i="6"/>
  <c r="H208" i="6"/>
  <c r="E205" i="6"/>
  <c r="E39" i="6"/>
  <c r="E208" i="6" l="1"/>
  <c r="G204" i="1"/>
  <c r="D204" i="1"/>
  <c r="C204" i="1"/>
  <c r="G203" i="1"/>
  <c r="D203" i="1"/>
  <c r="C203" i="1"/>
  <c r="G202" i="1"/>
  <c r="D202" i="1"/>
  <c r="C202" i="1"/>
  <c r="G201" i="1"/>
  <c r="D201" i="1"/>
  <c r="C201" i="1"/>
  <c r="G200" i="1"/>
  <c r="D200" i="1"/>
  <c r="C200" i="1"/>
  <c r="G199" i="1"/>
  <c r="D199" i="1"/>
  <c r="C199" i="1"/>
  <c r="I197" i="1"/>
  <c r="I196" i="1"/>
  <c r="I195" i="1"/>
  <c r="I201" i="1" s="1"/>
  <c r="I194" i="1"/>
  <c r="I193" i="1"/>
  <c r="I192" i="1"/>
  <c r="I191" i="1"/>
  <c r="I96" i="1"/>
  <c r="I203" i="1" s="1"/>
  <c r="I95" i="1"/>
  <c r="I200" i="1" s="1"/>
  <c r="I94" i="1"/>
  <c r="H89" i="1"/>
  <c r="G89" i="1"/>
  <c r="D89" i="1"/>
  <c r="C89" i="1"/>
  <c r="H88" i="1"/>
  <c r="G88" i="1"/>
  <c r="D88" i="1"/>
  <c r="C88" i="1"/>
  <c r="H87" i="1"/>
  <c r="G87" i="1"/>
  <c r="D87" i="1"/>
  <c r="C87" i="1"/>
  <c r="H86" i="1"/>
  <c r="G86" i="1"/>
  <c r="D86" i="1"/>
  <c r="C86" i="1"/>
  <c r="I85" i="1"/>
  <c r="H85" i="1"/>
  <c r="G85" i="1"/>
  <c r="D85" i="1"/>
  <c r="C85" i="1"/>
  <c r="I83" i="1"/>
  <c r="I82" i="1"/>
  <c r="I81" i="1"/>
  <c r="I80" i="1"/>
  <c r="I79" i="1"/>
  <c r="I78" i="1"/>
  <c r="I88" i="1" s="1"/>
  <c r="I46" i="1"/>
  <c r="I86" i="1" s="1"/>
  <c r="I45" i="1"/>
  <c r="I44" i="1"/>
  <c r="I43" i="1"/>
  <c r="J38" i="1"/>
  <c r="I38" i="1"/>
  <c r="H38" i="1"/>
  <c r="G38" i="1"/>
  <c r="D38" i="1"/>
  <c r="C38" i="1"/>
  <c r="I37" i="1"/>
  <c r="H37" i="1"/>
  <c r="G37" i="1"/>
  <c r="D37" i="1"/>
  <c r="C37" i="1"/>
  <c r="J36" i="1"/>
  <c r="I36" i="1"/>
  <c r="H36" i="1"/>
  <c r="G36" i="1"/>
  <c r="D36" i="1"/>
  <c r="C36" i="1"/>
  <c r="I35" i="1"/>
  <c r="H35" i="1"/>
  <c r="G35" i="1"/>
  <c r="D35" i="1"/>
  <c r="C35" i="1"/>
  <c r="J34" i="1"/>
  <c r="I34" i="1"/>
  <c r="H34" i="1"/>
  <c r="G34" i="1"/>
  <c r="D34" i="1"/>
  <c r="C34" i="1"/>
  <c r="I33" i="1"/>
  <c r="H33" i="1"/>
  <c r="G33" i="1"/>
  <c r="D33" i="1"/>
  <c r="C33" i="1"/>
  <c r="I32" i="1"/>
  <c r="H32" i="1"/>
  <c r="G32" i="1"/>
  <c r="D32" i="1"/>
  <c r="C32" i="1"/>
  <c r="I31" i="1"/>
  <c r="H31" i="1"/>
  <c r="G31" i="1"/>
  <c r="D31" i="1"/>
  <c r="C31" i="1"/>
  <c r="J30" i="1"/>
  <c r="I30" i="1"/>
  <c r="H30" i="1"/>
  <c r="G30" i="1"/>
  <c r="D30" i="1"/>
  <c r="C30" i="1"/>
  <c r="J29" i="1"/>
  <c r="I29" i="1"/>
  <c r="H29" i="1"/>
  <c r="G29" i="1"/>
  <c r="D29" i="1"/>
  <c r="C29" i="1"/>
  <c r="I28" i="1"/>
  <c r="H28" i="1"/>
  <c r="G28" i="1"/>
  <c r="D28" i="1"/>
  <c r="C28" i="1"/>
  <c r="J26" i="1"/>
  <c r="J32" i="1" s="1"/>
  <c r="J25" i="1"/>
  <c r="J24" i="1"/>
  <c r="J23" i="1"/>
  <c r="J22" i="1"/>
  <c r="J33" i="1" s="1"/>
  <c r="J21" i="1"/>
  <c r="J10" i="1"/>
  <c r="J9" i="1"/>
  <c r="J8" i="1"/>
  <c r="J31" i="1" s="1"/>
  <c r="J7" i="1"/>
  <c r="J28" i="1" s="1"/>
  <c r="I199" i="1" l="1"/>
  <c r="I89" i="1"/>
  <c r="C39" i="1"/>
  <c r="D39" i="1"/>
  <c r="E37" i="1"/>
  <c r="J37" i="1"/>
  <c r="I87" i="1"/>
  <c r="I90" i="1" s="1"/>
  <c r="E199" i="1"/>
  <c r="E200" i="1"/>
  <c r="D90" i="1"/>
  <c r="J35" i="1"/>
  <c r="J39" i="1" s="1"/>
  <c r="E89" i="1"/>
  <c r="E87" i="1"/>
  <c r="E34" i="1"/>
  <c r="E29" i="1"/>
  <c r="E35" i="1"/>
  <c r="H39" i="1"/>
  <c r="E33" i="1"/>
  <c r="E38" i="1"/>
  <c r="E31" i="1"/>
  <c r="I39" i="1"/>
  <c r="G90" i="1"/>
  <c r="H90" i="1"/>
  <c r="E202" i="1"/>
  <c r="E85" i="1"/>
  <c r="E32" i="1"/>
  <c r="E36" i="1"/>
  <c r="D205" i="1"/>
  <c r="E204" i="1"/>
  <c r="G39" i="1"/>
  <c r="C90" i="1"/>
  <c r="G205" i="1"/>
  <c r="E201" i="1"/>
  <c r="E88" i="1"/>
  <c r="I205" i="1"/>
  <c r="E203" i="1"/>
  <c r="H205" i="1"/>
  <c r="E30" i="1"/>
  <c r="E28" i="1"/>
  <c r="C205" i="1"/>
  <c r="E86" i="1"/>
  <c r="E90" i="1" l="1"/>
  <c r="D208" i="1"/>
  <c r="E205" i="1"/>
  <c r="C208" i="1"/>
  <c r="I208" i="1"/>
  <c r="E39" i="1"/>
  <c r="G208" i="1"/>
  <c r="H208" i="1"/>
  <c r="E208" i="1" l="1"/>
</calcChain>
</file>

<file path=xl/comments1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4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4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4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4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4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3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3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3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3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3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3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3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8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8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8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5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5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5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5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5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4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4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4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4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4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4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4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9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9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9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9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9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9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5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5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5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5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5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4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4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4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4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4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4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4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9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9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9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9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9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9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5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5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5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5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5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4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4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4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4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4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4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4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9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9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9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9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9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9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4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4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4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4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4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3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3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3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3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3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3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3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8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8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8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4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4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4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4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4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3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3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3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3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3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3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3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8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8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8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4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4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4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4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4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3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3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3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3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3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3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3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8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8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8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6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6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6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6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6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6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6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6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6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1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1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1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1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1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1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1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1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1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4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4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4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4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4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4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3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3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3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3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3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3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3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3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8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8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8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7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8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5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5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5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5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5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4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4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4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4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4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4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4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9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9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9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9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9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9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5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5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5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5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5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4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4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4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4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4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4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4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9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9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9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9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9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9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5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5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5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5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5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4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4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4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4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4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4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4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9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9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9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9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9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9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27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27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27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27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27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27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27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42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42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42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42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42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42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42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42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85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85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85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85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85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85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94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94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94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4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94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94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4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94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9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9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9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9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9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9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8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8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8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8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9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sharedStrings.xml><?xml version="1.0" encoding="utf-8"?>
<sst xmlns="http://schemas.openxmlformats.org/spreadsheetml/2006/main" count="12131" uniqueCount="526">
  <si>
    <t xml:space="preserve"> 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</si>
  <si>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</si>
  <si>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</si>
  <si>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</si>
  <si>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</si>
  <si>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</si>
  <si>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</si>
  <si>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</si>
  <si>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</si>
  <si>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</si>
  <si>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</si>
  <si>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</si>
  <si>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MONTANTE [12]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</si>
  <si>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</si>
  <si>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</si>
  <si>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</si>
  <si>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</si>
  <si>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</si>
  <si>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</si>
  <si>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</si>
  <si>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</si>
  <si>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TOTAL MONTANTE [21]</t>
  </si>
  <si>
    <t>Cargo Comissionado de Direção e Assessoramento</t>
  </si>
  <si>
    <t>DAS</t>
  </si>
  <si>
    <t>Cargo Comissionado de Direção e Assessoramento - 1</t>
  </si>
  <si>
    <t>DAS-1</t>
  </si>
  <si>
    <t>Cargo Comissionado de Direção e Assessoramento - 2</t>
  </si>
  <si>
    <t>DAS-2</t>
  </si>
  <si>
    <t>Cargo Comissionado de Direção e Assessoramento - 3</t>
  </si>
  <si>
    <t>DAS-3</t>
  </si>
  <si>
    <t>Cargo Comissionado de Direção e Assessoramento - 4</t>
  </si>
  <si>
    <t>DAS-4</t>
  </si>
  <si>
    <t>Cargo Comissionado de Direção e Assessoramento - 5</t>
  </si>
  <si>
    <t>DAS-5</t>
  </si>
  <si>
    <t>Cargo de Assessoramento - 1</t>
  </si>
  <si>
    <t>CAA-1</t>
  </si>
  <si>
    <t>Cargo de Assessoramento - 2</t>
  </si>
  <si>
    <t>CAA-2</t>
  </si>
  <si>
    <t>Cargo de Assessoramento - 3</t>
  </si>
  <si>
    <t>CAA-3</t>
  </si>
  <si>
    <t>Cargo de Assessoramento - 4</t>
  </si>
  <si>
    <t>CAA-4</t>
  </si>
  <si>
    <t>Cargo de Assessoramento - 5</t>
  </si>
  <si>
    <t>CAA-5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</si>
  <si>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</si>
  <si>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</si>
  <si>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</si>
  <si>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</si>
  <si>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</si>
  <si>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</si>
  <si>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</si>
  <si>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</si>
  <si>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</si>
  <si>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</si>
  <si>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</si>
  <si>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</si>
  <si>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</si>
  <si>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</si>
  <si>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</si>
  <si>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</si>
  <si>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</si>
  <si>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</si>
  <si>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</si>
  <si>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</si>
  <si>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FDA</t>
  </si>
  <si>
    <t>Função Gratificada de Direção e Assessoramento - 1</t>
  </si>
  <si>
    <t>FDA-1</t>
  </si>
  <si>
    <t>Função Gratificada de Direção e Assessoramento - 2</t>
  </si>
  <si>
    <t>FDA-2</t>
  </si>
  <si>
    <t>Função Gratificada de Direção e Assessoramento - 3</t>
  </si>
  <si>
    <t>FDA-3</t>
  </si>
  <si>
    <t>Função Gratificada de Direção e Assessoramento - 4</t>
  </si>
  <si>
    <t>FDA-4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</si>
  <si>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</si>
  <si>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</si>
  <si>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</si>
  <si>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</si>
  <si>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</si>
  <si>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</si>
  <si>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</si>
  <si>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</si>
  <si>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</si>
  <si>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</si>
  <si>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</si>
  <si>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</si>
  <si>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</si>
  <si>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</si>
  <si>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</si>
  <si>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</si>
  <si>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</si>
  <si>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</si>
  <si>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</si>
  <si>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</si>
  <si>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FGS-1</t>
  </si>
  <si>
    <t>Função Gratificada de Supervisão -2</t>
  </si>
  <si>
    <t xml:space="preserve">FGS-2 </t>
  </si>
  <si>
    <t>Função Gratificada de Supervisão -3</t>
  </si>
  <si>
    <t>FGS-3</t>
  </si>
  <si>
    <t xml:space="preserve">Função Gratificada de Apoio -1 </t>
  </si>
  <si>
    <t xml:space="preserve">FGA-1 </t>
  </si>
  <si>
    <t>Função Gratificada de Apoio -2</t>
  </si>
  <si>
    <t>FGA-2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</si>
  <si>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</si>
  <si>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</si>
  <si>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</si>
  <si>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</si>
  <si>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</si>
  <si>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</si>
  <si>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</si>
  <si>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</si>
  <si>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</si>
  <si>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</si>
  <si>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</si>
  <si>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</si>
  <si>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</si>
  <si>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</si>
  <si>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</si>
  <si>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</si>
  <si>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</si>
  <si>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</si>
  <si>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</si>
  <si>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</si>
  <si>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</si>
  <si>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</si>
  <si>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</si>
  <si>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</si>
  <si>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</si>
  <si>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</si>
  <si>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</si>
  <si>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</si>
  <si>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</si>
  <si>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</si>
  <si>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</si>
  <si>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</si>
  <si>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</si>
  <si>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</si>
  <si>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</si>
  <si>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</si>
  <si>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</si>
  <si>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</si>
  <si>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</si>
  <si>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</si>
  <si>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</si>
  <si>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</si>
  <si>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</si>
  <si>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</si>
  <si>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</si>
  <si>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</si>
  <si>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</si>
  <si>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</si>
  <si>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</si>
  <si>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</si>
  <si>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</si>
  <si>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</si>
  <si>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</si>
  <si>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</si>
  <si>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</si>
  <si>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</si>
  <si>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</si>
  <si>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</si>
  <si>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</si>
  <si>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</si>
  <si>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</si>
  <si>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</si>
  <si>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</si>
  <si>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</si>
  <si>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</si>
  <si>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</si>
  <si>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</si>
  <si>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</si>
  <si>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</si>
  <si>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</si>
  <si>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</si>
  <si>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</si>
  <si>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</si>
  <si>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</si>
  <si>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t xml:space="preserve">                              ANEXO II - CARGOS EM COMISSÃO E FUNÇÕES GRATIFICADAS [DESCRITIVO DOS OCUPANTES, QUANTITATIVOS E VAGAS NÃO PREENCHIDAS] (ITENS 4.3 E 4.4 DO ANEXO I, DA PORTARIA SCGE Nº 27/2022)</t>
  </si>
  <si>
    <t>Secretário da Fazenda</t>
  </si>
  <si>
    <t>GSF</t>
  </si>
  <si>
    <t>AGP</t>
  </si>
  <si>
    <t xml:space="preserve">Chefe de Gabinete </t>
  </si>
  <si>
    <t>EXQ</t>
  </si>
  <si>
    <t>Secretário</t>
  </si>
  <si>
    <t>VAGO</t>
  </si>
  <si>
    <t>Assistente de Gabinete</t>
  </si>
  <si>
    <t>Assessor do Gabinete do Secretário da Fazenda</t>
  </si>
  <si>
    <t>Assistente de Projetos Especiais</t>
  </si>
  <si>
    <t xml:space="preserve">Assessor </t>
  </si>
  <si>
    <t>COM</t>
  </si>
  <si>
    <t>Assistente da Coordenação da Administração Tributária Estadual</t>
  </si>
  <si>
    <t>CAT/ACATE</t>
  </si>
  <si>
    <t>Secretario Executivo de Coordenação Institucional</t>
  </si>
  <si>
    <t>GSF/SCI</t>
  </si>
  <si>
    <t>Diretor de Logística</t>
  </si>
  <si>
    <t>SCI/ SUAD/ DILOG</t>
  </si>
  <si>
    <t>Diretor de Infraestrutura e Engenharia</t>
  </si>
  <si>
    <t>SCI/SUAD/DIENG</t>
  </si>
  <si>
    <t>Diretor Financeiro</t>
  </si>
  <si>
    <t>SCI/ SGF</t>
  </si>
  <si>
    <t>EST</t>
  </si>
  <si>
    <t xml:space="preserve">Gerente de Desenvolvimento de Pessoas </t>
  </si>
  <si>
    <t>SCI/ SGP/GDEP</t>
  </si>
  <si>
    <t>Diretor da Escola Fazendária</t>
  </si>
  <si>
    <t>SCI/ SGP/ESAFAZ</t>
  </si>
  <si>
    <t xml:space="preserve">Assessor Técnico - Jurídico </t>
  </si>
  <si>
    <t>SCI/ATJ</t>
  </si>
  <si>
    <t xml:space="preserve">Gerente de Produção de Informações Econômicas </t>
  </si>
  <si>
    <t>GSF/DPT/GPE</t>
  </si>
  <si>
    <t>TATE</t>
  </si>
  <si>
    <t>Diretor de Comunicação da Fazenda</t>
  </si>
  <si>
    <t>GSF/DICOM</t>
  </si>
  <si>
    <t>Wilson José de Paula</t>
  </si>
  <si>
    <t>Daniel Feitosa Valois Moreira</t>
  </si>
  <si>
    <t xml:space="preserve">Giani Maria Silva Duarte </t>
  </si>
  <si>
    <t>Fabio Henrique Soares de Oliveira</t>
  </si>
  <si>
    <t>Rogerio Feitosa de Carvalho</t>
  </si>
  <si>
    <t xml:space="preserve">Márcio Cavalcanti Lins </t>
  </si>
  <si>
    <t>Frederico de Siqueira Brito Filho</t>
  </si>
  <si>
    <t>Clayton Costa Carvalho</t>
  </si>
  <si>
    <t>ATUALIZADO EM 15/02/2023 [2]</t>
  </si>
  <si>
    <t xml:space="preserve">                              SECRETARIA DA FAZENDA - SEFAZ [1]</t>
  </si>
  <si>
    <t>Diretor de Analise e Controle de Processos</t>
  </si>
  <si>
    <t>Gerente de Acompanhamento de Programas de Ajustes Fiscais</t>
  </si>
  <si>
    <t>CTE</t>
  </si>
  <si>
    <t>Gerente de Inovação e Integração do Sistema Contabil</t>
  </si>
  <si>
    <t>CTE/ CGE/</t>
  </si>
  <si>
    <t>Diretor de Sistemas Coorporativos Financeiros</t>
  </si>
  <si>
    <t>CTE/DSCF</t>
  </si>
  <si>
    <t>Gerente de Desenvolvimento e Funcionalidades</t>
  </si>
  <si>
    <t>CTE/ DSCF/GEDF</t>
  </si>
  <si>
    <t>Gerente de Processos Estrategicos e Inteligencia de Dados</t>
  </si>
  <si>
    <t>CTE/ DSCF/</t>
  </si>
  <si>
    <t xml:space="preserve">Diretoria de Planejamento do Tesouro Estadual </t>
  </si>
  <si>
    <t>CTE/DPTE</t>
  </si>
  <si>
    <t>Gerente de Planejamento do Tesouro Estadual</t>
  </si>
  <si>
    <t xml:space="preserve">Diretor de Controle e Monitoramento das Despesas Correntes </t>
  </si>
  <si>
    <t>CTE/</t>
  </si>
  <si>
    <t xml:space="preserve">Assessor Tecnico dos Sistemas Tributarios </t>
  </si>
  <si>
    <t>CAT/DPS/</t>
  </si>
  <si>
    <t>Gerente do Núcleo de Apoio Administrativo  - NAPA - II RF</t>
  </si>
  <si>
    <t>CAT/ DG II RF/NAPA IIRF</t>
  </si>
  <si>
    <t>Gerente do Núcleo de Apoio Administrativo  - NAPA - III RF</t>
  </si>
  <si>
    <t>CAT/ DG III RF/NAPA IIIRF</t>
  </si>
  <si>
    <t>Gerente do Núcleo de Apoio Administrativo – NAPA - DOE</t>
  </si>
  <si>
    <t>CAT/DOE</t>
  </si>
  <si>
    <t xml:space="preserve">Gerente do Núcleo de Apoio Administrativo – NAPA - DFA </t>
  </si>
  <si>
    <t>CAT/DFA</t>
  </si>
  <si>
    <t>Superintendente Administrativo</t>
  </si>
  <si>
    <t>SCI/ SUAD</t>
  </si>
  <si>
    <t xml:space="preserve">Gerente de Bens e Serviços </t>
  </si>
  <si>
    <t>SCI/SUAD/ DILOG/GEBES</t>
  </si>
  <si>
    <t>Gerente de Terceirizações, Documentos e Imóveis</t>
  </si>
  <si>
    <t>SCI/ SUAD/DILOG/GTDIM</t>
  </si>
  <si>
    <t>Diretor de Licitações e Contratos</t>
  </si>
  <si>
    <t>SCI/ SUAD/ DILC</t>
  </si>
  <si>
    <t>Gerente de Compras</t>
  </si>
  <si>
    <t>SCI/ SUAD/ DILC/GCOMP</t>
  </si>
  <si>
    <t>Gerente Administrativo de Contratos</t>
  </si>
  <si>
    <t>SCI/ SUAD/ DILC/GEAC</t>
  </si>
  <si>
    <t>Superintendente de Tecnologia da Informação</t>
  </si>
  <si>
    <t>SCI/ STI</t>
  </si>
  <si>
    <t>Gerente de Governança Tecnológica e Infraestrutura</t>
  </si>
  <si>
    <t>SCI/ STI/GGTI</t>
  </si>
  <si>
    <t>Gerente de Sistemas Fazendários</t>
  </si>
  <si>
    <t>SCI/ STI/GESF</t>
  </si>
  <si>
    <t>Gerente de Planejamento de Infraestrutura e Redes</t>
  </si>
  <si>
    <t>SCI/ STI/GPIR</t>
  </si>
  <si>
    <t>Gerente de Governança e Estratégia de TI</t>
  </si>
  <si>
    <t>SCI/ STI/GGET</t>
  </si>
  <si>
    <t>Gerente de Sistemas Corporativos</t>
  </si>
  <si>
    <t>SCI/ STI/GESC</t>
  </si>
  <si>
    <t>Gerente de  Desenvolvimento de Sistemas</t>
  </si>
  <si>
    <t>SCI/ STI/GEDS</t>
  </si>
  <si>
    <t>Gerente de Arquitetura e Qualidade de Software</t>
  </si>
  <si>
    <t>SCI/ STI/GAQS</t>
  </si>
  <si>
    <t>Gerente de Suporte e Mudanças de Infraestrutura de TI</t>
  </si>
  <si>
    <t>Gerente de Suporte Técnico Descentralizado</t>
  </si>
  <si>
    <t>SCI/ STI/GSTD</t>
  </si>
  <si>
    <t>Gerente de Fiscalização de Contratos, Serviços e Orçamentos de TI</t>
  </si>
  <si>
    <t>SCI/ STI/GCSOTI</t>
  </si>
  <si>
    <t>Superintendente de Gestão e Finanças</t>
  </si>
  <si>
    <t>SCI/SGF</t>
  </si>
  <si>
    <t>Gerente de Estratégia e Estrutura Organizacional</t>
  </si>
  <si>
    <t>SCI/ SGF/GEEO</t>
  </si>
  <si>
    <t>Gerente  de Projetos Estratégicos</t>
  </si>
  <si>
    <t>SCI/ SGF/GPE</t>
  </si>
  <si>
    <t xml:space="preserve">Gerente de Gestão Orçamentária </t>
  </si>
  <si>
    <t>SCI/ SGF/GGO</t>
  </si>
  <si>
    <t>Diretor da Setorial Contábil</t>
  </si>
  <si>
    <t>SCI/SGF/DISCON</t>
  </si>
  <si>
    <t>Superintendente de Gestão de Pessoas</t>
  </si>
  <si>
    <t>SCI/ SGP</t>
  </si>
  <si>
    <t xml:space="preserve">Gerente de Administração de Pessoas </t>
  </si>
  <si>
    <t>SCI/ SGP/GAPE</t>
  </si>
  <si>
    <t xml:space="preserve">Gerente do Programa de Educação Fiscal do Estado </t>
  </si>
  <si>
    <t>SCI/ SGP/ESAFAZ/GPEF</t>
  </si>
  <si>
    <t>Assessor da Secretaria Executiva de Coordenação Institucional</t>
  </si>
  <si>
    <t>SCI</t>
  </si>
  <si>
    <t>Assessor Especial de Controle Interno</t>
  </si>
  <si>
    <t>SCI/AECI</t>
  </si>
  <si>
    <t>Monique Nayara Lemos de Melo</t>
  </si>
  <si>
    <t>Renildo Ferreira da Silva</t>
  </si>
  <si>
    <t>Jayro Januario dos Santos Neto</t>
  </si>
  <si>
    <t>Vitor Carvalho Pinheiro Costa</t>
  </si>
  <si>
    <t>Cláudia Gusmão Ramos</t>
  </si>
  <si>
    <t>Graco Mesel Ferreira Pires</t>
  </si>
  <si>
    <t>Cristiane Tarini Duarte Maciel</t>
  </si>
  <si>
    <t>Katarina Pitombeira Bezerra dos Santos</t>
  </si>
  <si>
    <t>Mauro Ataide da Silva Junior</t>
  </si>
  <si>
    <t>João Murilo Dourado de Azevedo</t>
  </si>
  <si>
    <t xml:space="preserve">Maria das Neves de Sousa </t>
  </si>
  <si>
    <t>Maria do Socorro Delmondes Bentinho Terto</t>
  </si>
  <si>
    <t>Clemens Clara Costa de Medeiros</t>
  </si>
  <si>
    <t>Rubem de Moura e Silva Junior</t>
  </si>
  <si>
    <t>Alfredo Ottoni de Carvalho Neto</t>
  </si>
  <si>
    <t>Carlos Alexandre Rocha Souza</t>
  </si>
  <si>
    <t>Ana Lucia Santiago dos Santos Oliveira</t>
  </si>
  <si>
    <t>Carlos Eduardo Araújo Pereira</t>
  </si>
  <si>
    <t>Jorge Ulisses Sobreira Cysneiros</t>
  </si>
  <si>
    <t>Daniel Sá Carneiro Ribeiro</t>
  </si>
  <si>
    <t>Danielle Campello de Melo Augusto</t>
  </si>
  <si>
    <t>Carlos Henrique Romão Paiva</t>
  </si>
  <si>
    <t>Cynthia de Oliveira Rocha Mayrinck</t>
  </si>
  <si>
    <t>Marcel Tachlitsky</t>
  </si>
  <si>
    <t>Renata Elaine Mesel Kaufman</t>
  </si>
  <si>
    <t>Ana Paula Silva dos Santos</t>
  </si>
  <si>
    <t>Ana Carla Gonçalves Figloulo</t>
  </si>
  <si>
    <t>Luiz Fernando Vellozo da Paz</t>
  </si>
  <si>
    <t>Rafael Rodrigo Vilaça de Moura</t>
  </si>
  <si>
    <t>Josué Limeira da Silva Júnior</t>
  </si>
  <si>
    <t>Sílvio Caetano de Sá</t>
  </si>
  <si>
    <t>Daniella Myrian de Sousa Silva</t>
  </si>
  <si>
    <t>Carolina Gelenske Alves Lima</t>
  </si>
  <si>
    <t>Claudio Marcio Pereira da Silva</t>
  </si>
  <si>
    <t>Abelardo José Vareda Lapenda Filho</t>
  </si>
  <si>
    <t>Renata Micaely da Silva Cordeiro</t>
  </si>
  <si>
    <t>Walclecia Aparecida dos Santos Lustosa</t>
  </si>
  <si>
    <t>Maria Eduarda Malta Varela de Araujo Barbosa</t>
  </si>
  <si>
    <t>Erica Verônica Andrade Araújo</t>
  </si>
  <si>
    <t>Danyllo Almeida Bezerra</t>
  </si>
  <si>
    <t>Função Gratificada de Supervisão-1</t>
  </si>
  <si>
    <t>Função Gratificada de Supervisão-2</t>
  </si>
  <si>
    <t>FGS-2</t>
  </si>
  <si>
    <t>Função Gratificada de Apoio-2</t>
  </si>
  <si>
    <t>Função Gratificada de Apoio-1</t>
  </si>
  <si>
    <t>FGA-1</t>
  </si>
  <si>
    <t>Função Gratificada de Supervisão-3</t>
  </si>
  <si>
    <t>CTE/ DAFE</t>
  </si>
  <si>
    <t>CTE/DAFE</t>
  </si>
  <si>
    <t>CTE/ CGE</t>
  </si>
  <si>
    <t>CTE/ DSCF</t>
  </si>
  <si>
    <t>CAT</t>
  </si>
  <si>
    <t>CAT/ DPC</t>
  </si>
  <si>
    <t>CAT/DPS</t>
  </si>
  <si>
    <t>CAT/GG IRF</t>
  </si>
  <si>
    <t xml:space="preserve">CAT/ DG IRF </t>
  </si>
  <si>
    <t>CAT/ DG II RF</t>
  </si>
  <si>
    <t>CAT/ DG III RF</t>
  </si>
  <si>
    <t>CAT/ DLO</t>
  </si>
  <si>
    <t>CAT/ DIF</t>
  </si>
  <si>
    <t xml:space="preserve">CAT/DOE </t>
  </si>
  <si>
    <t>CAT/ DOE</t>
  </si>
  <si>
    <t>CAT/DFA/NAPA</t>
  </si>
  <si>
    <t xml:space="preserve">Função Gratificada de Supervisão-2 </t>
  </si>
  <si>
    <t>SCI/ SUAD/ DIENG</t>
  </si>
  <si>
    <t xml:space="preserve">Função Gratificada de Supervisão-1 </t>
  </si>
  <si>
    <t>SCI/ SGF/ DIFIN</t>
  </si>
  <si>
    <t>Função Gratificada de Apoio-3</t>
  </si>
  <si>
    <t>SCI/OUVIDORIA</t>
  </si>
  <si>
    <t>GSF/ CORREFAZ</t>
  </si>
  <si>
    <t>GSF/DBF</t>
  </si>
  <si>
    <t xml:space="preserve"> GSF/DBF</t>
  </si>
  <si>
    <t>GSF/DAF</t>
  </si>
  <si>
    <t>GSF/TATE</t>
  </si>
  <si>
    <t>Irenilda Tavares Bernardo</t>
  </si>
  <si>
    <t>Maria Gorete Bacelar da Silva</t>
  </si>
  <si>
    <t>Irlene Torres Teixeira</t>
  </si>
  <si>
    <t>Cássio Valério de Andrade Melo</t>
  </si>
  <si>
    <t>Ana Lúcia Maria  Silva do Nascimento</t>
  </si>
  <si>
    <t xml:space="preserve">Vlademir Campelo da Mota </t>
  </si>
  <si>
    <t>Andrea Carla Barbosa Gouveia de Miranda</t>
  </si>
  <si>
    <t>Dino Rambaldi França</t>
  </si>
  <si>
    <t>Noemia Maria de Aráujo Silva</t>
  </si>
  <si>
    <t xml:space="preserve">Petrônio Cláudio Santiago </t>
  </si>
  <si>
    <t>Maria das Graças da Hora</t>
  </si>
  <si>
    <t>Laurineide Maria Mendes Salvino</t>
  </si>
  <si>
    <t>Ivaldene Gomes de Lima</t>
  </si>
  <si>
    <t>Jaza Mirtes de Souza Pontes</t>
  </si>
  <si>
    <t>Dalva Maria de Souza Pereira</t>
  </si>
  <si>
    <t>Josenilda Cavalcanti da Silva</t>
  </si>
  <si>
    <t>Rosélis Maria Vasconcelos da Silva Seabra</t>
  </si>
  <si>
    <t>Lúcia de Fátima Brito Inojosa de Oliveira</t>
  </si>
  <si>
    <t>Etiene Maria Nascimento Alemão</t>
  </si>
  <si>
    <t>Edineide Marize Batista da Silva</t>
  </si>
  <si>
    <t>Maria Gorett Gomes dos Santos</t>
  </si>
  <si>
    <t>Aldenice Lourdes Cordeiro de Souza</t>
  </si>
  <si>
    <t>Bartolomeu Jose da Silva</t>
  </si>
  <si>
    <t>João Carlos Lopes da Silva</t>
  </si>
  <si>
    <t>Maria Suzanir da Silva Magno</t>
  </si>
  <si>
    <t>Manoel Messias da Silva</t>
  </si>
  <si>
    <t>Francisco Ferreira da Silva Neto</t>
  </si>
  <si>
    <t xml:space="preserve">Djalva de Fátima Miranda de Castro Lima </t>
  </si>
  <si>
    <t>Gilvanete Galvão Leite</t>
  </si>
  <si>
    <t>Narciso Pereira da Silva</t>
  </si>
  <si>
    <t>Roberto Jorge Vaz de Oliveira Melo</t>
  </si>
  <si>
    <t xml:space="preserve">Liege Edilene Rodrigues Gouveia </t>
  </si>
  <si>
    <t xml:space="preserve">Maria Tereza Leal de Barros </t>
  </si>
  <si>
    <t>Elizabeth de Sousa Santos</t>
  </si>
  <si>
    <t>Noberto Araújo Ramos</t>
  </si>
  <si>
    <t>Albanira Cavalcanti da Silva</t>
  </si>
  <si>
    <t>Edinaldo Pereira Paiva</t>
  </si>
  <si>
    <t>Patrícia de Lucena Farias</t>
  </si>
  <si>
    <t>Mozart França Nobre dos Santos</t>
  </si>
  <si>
    <t>Solange Maria Carneiro Ribeiro</t>
  </si>
  <si>
    <t>Francisco Ramos Fernandes de Andrade</t>
  </si>
  <si>
    <t>Adriana Lira Barbosa</t>
  </si>
  <si>
    <t>Selma Arteiro Filgueira Bezerra</t>
  </si>
  <si>
    <t>Alexandre Francisco Rodrigues</t>
  </si>
  <si>
    <t>Lucas Henrique Nejain Silva</t>
  </si>
  <si>
    <t>Cesaréia Patriota Sales</t>
  </si>
  <si>
    <t>Ilma Fraga Notaro</t>
  </si>
  <si>
    <t>Igor da Costa Batista</t>
  </si>
  <si>
    <t>Ana Maria Nogueira</t>
  </si>
  <si>
    <t>Helena Maria Soares de Castro</t>
  </si>
  <si>
    <t>Jacira Miranda Barbosa</t>
  </si>
  <si>
    <t>Alex Felipe da Silva Nascimento</t>
  </si>
  <si>
    <t>Eraldo Ramos da Silva</t>
  </si>
  <si>
    <t>Rene Camara Alheiros</t>
  </si>
  <si>
    <t>Vilma Maria Albuquerque Alheiros</t>
  </si>
  <si>
    <t xml:space="preserve">Andre Adelino da Silva </t>
  </si>
  <si>
    <t xml:space="preserve">Pedro Victor Neves Ferreira </t>
  </si>
  <si>
    <t>Thiago Mendonça Batista Sabiá</t>
  </si>
  <si>
    <t>Edson Sabino dos Santos</t>
  </si>
  <si>
    <t>Paulo de Albuquerque Pacheco</t>
  </si>
  <si>
    <t>Patricia Brandão de Queiroga Cavalcanti</t>
  </si>
  <si>
    <t xml:space="preserve">Thales Siqueira de Oliveira </t>
  </si>
  <si>
    <t>Ana Cecilia Canto Sabino de Miranda Costa</t>
  </si>
  <si>
    <t>Rafael Cavalcanti de Assis</t>
  </si>
  <si>
    <t>Antonio David Gouveia Sabino dos Santos</t>
  </si>
  <si>
    <t>Abraão Gomes de Farias</t>
  </si>
  <si>
    <t>Vânia Ferreira Feitosa</t>
  </si>
  <si>
    <t>Marta Correia de Alencar</t>
  </si>
  <si>
    <t>Fernando Antonio Vilarouca Moreira</t>
  </si>
  <si>
    <t xml:space="preserve">Dulcinéa Maria Alves da Silva </t>
  </si>
  <si>
    <t>Ana Maria  de Castro Albuquerque</t>
  </si>
  <si>
    <t>Jacinta Carlos Jacinto</t>
  </si>
  <si>
    <t>Flavia Sales Galdino de Paiva</t>
  </si>
  <si>
    <t>Elivelton Eliel da Silva Cavalcante</t>
  </si>
  <si>
    <t>Inês Maria de Oliveira Paes</t>
  </si>
  <si>
    <t>Maria da Conceição de Lima Barbosa</t>
  </si>
  <si>
    <t>Marileide Pereira da Silva</t>
  </si>
  <si>
    <t>Maria do Socorro César Matias</t>
  </si>
  <si>
    <t xml:space="preserve">Joana Monte da Cunha Neta </t>
  </si>
  <si>
    <t>Italo Fernandes Moura de Freitas</t>
  </si>
  <si>
    <t>Leidiane Araujo da Silva</t>
  </si>
  <si>
    <t xml:space="preserve">Fernando Antonio Alvim Silva </t>
  </si>
  <si>
    <t>Pedro Anibal de Brito Rodrigues</t>
  </si>
  <si>
    <t>Camila Cristina Cavalcanti de Melo</t>
  </si>
  <si>
    <t xml:space="preserve">Teresinha Alves de Lima Silva </t>
  </si>
  <si>
    <t>Nathalie Elizabelle Silva dos Santos</t>
  </si>
  <si>
    <t>Jose Henrique da Silva</t>
  </si>
  <si>
    <t>Maria do Rosário de Fátima Caminha Loureiro Alves</t>
  </si>
  <si>
    <t>Aliete de Lima Poroca</t>
  </si>
  <si>
    <t>Maria Aparecida Costa Couceiro</t>
  </si>
  <si>
    <t>Carlos Henrique Barbosa da Costa</t>
  </si>
  <si>
    <t>Lindamir Ferreira de Andrade</t>
  </si>
  <si>
    <t>Marilúcia da Silveira Barros</t>
  </si>
  <si>
    <t>Ana Lucia Alves de Oliveira</t>
  </si>
  <si>
    <t>Cleide Maria Maciel Castro</t>
  </si>
  <si>
    <t>Maria Joseli Ferreira de Barros</t>
  </si>
  <si>
    <t xml:space="preserve">Izolda Maria Rosas Lages </t>
  </si>
  <si>
    <t>Wilma de Lima Poroca</t>
  </si>
  <si>
    <t>Maria do Socorro Pontes Ramos</t>
  </si>
  <si>
    <t>Solange Brito de Melo</t>
  </si>
  <si>
    <t>Margarida Maria de Oliveira Vasconcelos</t>
  </si>
  <si>
    <t>Marise Lopes da Paz</t>
  </si>
  <si>
    <t>Simone Melo Damasceno</t>
  </si>
  <si>
    <t>Vanesca Theodosio da Silva</t>
  </si>
  <si>
    <t>Lucas de Arruda Salviano</t>
  </si>
  <si>
    <t xml:space="preserve"> Edson Sabino dos Santos</t>
  </si>
  <si>
    <t>Não há Manual de Serviços da Secretaria da Fazenda equivalente vigente à epoca da divulgação</t>
  </si>
  <si>
    <t>Decreto nº 49.287, de 11 de agosto de 2020 e alterações posteriores (Decreto que aprova o Regulamento da Secretaria da Fazenda)</t>
  </si>
  <si>
    <t>Lei nº 18.139, de 18 de janeiro de 2023 (Lei que dispõe sobre a estrutura e o funcionamento do Poder Executivo)</t>
  </si>
  <si>
    <t>Decreto nº 54.397 (Decreto de Alocação de Cargos Comissionados e Funções Gratificadas)</t>
  </si>
  <si>
    <t>ATUALIZADO EM 15/03/2023 [2]</t>
  </si>
  <si>
    <t>ATUALIZADO EM 17/04/2023 [2]</t>
  </si>
  <si>
    <t>Marcia Maria Brainer Soares</t>
  </si>
  <si>
    <t>Rafael Lins da Silva</t>
  </si>
  <si>
    <t>SCI/ SGF/DIFIN</t>
  </si>
  <si>
    <t>Lucas Aguiar Sousa  Falcão de Melo</t>
  </si>
  <si>
    <t>Nilson Monteiro da Silva</t>
  </si>
  <si>
    <t>Paulo Victor de Albuquerque Marques</t>
  </si>
  <si>
    <t>ATUALIZADO EM 10/05/2023 [2]</t>
  </si>
  <si>
    <t>ATUALIZADO EM 06/06/23</t>
  </si>
  <si>
    <t>Lorena Ribeiro de Meirelles</t>
  </si>
  <si>
    <t>Judah Levi Santos de Abreu</t>
  </si>
  <si>
    <t>Patricia Couceiro Costa dos Santos</t>
  </si>
  <si>
    <t>Marcelle Ivette Suzana Ramos Ribeiro</t>
  </si>
  <si>
    <t>Nathália Luiza Farias da Silva</t>
  </si>
  <si>
    <t>Secretário Executivo de Gestão Estratégica</t>
  </si>
  <si>
    <t>Stephanie Christini Gomes Pereira</t>
  </si>
  <si>
    <t>Ana Paula Nunes Viana</t>
  </si>
  <si>
    <t>ATUALIZADO EM 14/08/23</t>
  </si>
  <si>
    <t>ATUALIZADO EM 16/07/23</t>
  </si>
  <si>
    <t>Jose Nelson Campello Videres</t>
  </si>
  <si>
    <t>Maria Gorete Brandt de Carvalho</t>
  </si>
  <si>
    <t>Caio Cesar Lima Lacerda Ferreira</t>
  </si>
  <si>
    <t>Filipe Almeida de Andrade Lima Brito</t>
  </si>
  <si>
    <t>ATUALIZADO EM 17/10/23</t>
  </si>
  <si>
    <t>Tacio Barreto Sabino de Araújo</t>
  </si>
  <si>
    <t>Rubens Mendonça de Souza Neto</t>
  </si>
  <si>
    <t>Rodolfo Bezerra Valença</t>
  </si>
  <si>
    <t>ATUALIZADO EM 01/11/23</t>
  </si>
  <si>
    <t>Maíra Ferraz Drahomiro Duarte</t>
  </si>
  <si>
    <t xml:space="preserve">Jorge Ulisses Sobreira Cysneiros </t>
  </si>
  <si>
    <t>Marcio Lopes Coutinho</t>
  </si>
  <si>
    <t>Jose Joaquim da Silva Korb</t>
  </si>
  <si>
    <t>ATUALIZADO EM 05/12/23</t>
  </si>
  <si>
    <t>Bruno Cezar de Souza Lima</t>
  </si>
  <si>
    <t>Thyago Henrique Cândido de Oliveira</t>
  </si>
  <si>
    <t>Leonardo de Oliveira dos Santos</t>
  </si>
  <si>
    <t>ATUALIZADO EM 15/01/23</t>
  </si>
  <si>
    <t>José Henrique da Silva</t>
  </si>
  <si>
    <t>Claudio Amorim da Silva Junior</t>
  </si>
  <si>
    <t>Luís César de Albuquerque Neto</t>
  </si>
  <si>
    <t>Luiz Eugênio da Fonte Clericuzi Filho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</si>
</sst>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17" x14ac:knownFonts="1">
    <font>
      <sz val="11"/>
      <color rgb="FF000000"/>
      <name val="Arial"/>
    </font>
    <font>
      <b/>
      <sz val="16"/>
      <color rgb="FFFFFFFF"/>
      <name val="Calibri"/>
      <family val="2"/>
    </font>
    <font>
      <sz val="11"/>
      <name val="Arial"/>
      <family val="2"/>
    </font>
    <font>
      <b/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trike/>
      <sz val="11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 tint="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10"/>
  </cellStyleXfs>
  <cellXfs count="10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3" borderId="3" xfId="0" applyFont="1" applyFill="1" applyBorder="1" applyAlignment="1">
      <alignment vertical="center" wrapText="1"/>
    </xf>
    <xf numFmtId="4" fontId="0" fillId="0" borderId="0" xfId="0" applyNumberFormat="1" applyFont="1" applyAlignment="1"/>
    <xf numFmtId="4" fontId="8" fillId="4" borderId="0" xfId="0" applyNumberFormat="1" applyFont="1" applyFill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0" fillId="4" borderId="8" xfId="0" applyFont="1" applyFill="1" applyBorder="1" applyAlignment="1"/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9" fillId="5" borderId="3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4" fontId="0" fillId="4" borderId="8" xfId="0" applyNumberFormat="1" applyFont="1" applyFill="1" applyBorder="1" applyAlignment="1"/>
    <xf numFmtId="4" fontId="7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4" fontId="9" fillId="5" borderId="3" xfId="0" applyNumberFormat="1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164" fontId="10" fillId="5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5" borderId="3" xfId="0" applyNumberFormat="1" applyFont="1" applyFill="1" applyBorder="1" applyAlignment="1">
      <alignment vertical="center" wrapText="1"/>
    </xf>
    <xf numFmtId="4" fontId="9" fillId="5" borderId="3" xfId="0" applyNumberFormat="1" applyFont="1" applyFill="1" applyBorder="1" applyAlignment="1">
      <alignment vertical="center" wrapText="1"/>
    </xf>
    <xf numFmtId="4" fontId="8" fillId="5" borderId="3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0" fillId="4" borderId="9" xfId="0" applyFont="1" applyFill="1" applyBorder="1" applyAlignment="1"/>
    <xf numFmtId="0" fontId="9" fillId="0" borderId="3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9" fillId="5" borderId="3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" fontId="0" fillId="4" borderId="9" xfId="0" applyNumberFormat="1" applyFont="1" applyFill="1" applyBorder="1" applyAlignment="1"/>
    <xf numFmtId="164" fontId="9" fillId="5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/>
    <xf numFmtId="0" fontId="12" fillId="4" borderId="8" xfId="0" applyFont="1" applyFill="1" applyBorder="1" applyAlignment="1"/>
    <xf numFmtId="0" fontId="12" fillId="4" borderId="10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164" fontId="6" fillId="5" borderId="3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5" fillId="6" borderId="11" xfId="0" applyFont="1" applyFill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0" fillId="0" borderId="0" xfId="0" applyFont="1" applyAlignment="1"/>
    <xf numFmtId="164" fontId="9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10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4" xfId="0" applyFont="1" applyBorder="1"/>
    <xf numFmtId="0" fontId="1" fillId="2" borderId="0" xfId="0" applyFont="1" applyFill="1" applyAlignment="1">
      <alignment horizontal="left" vertic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4" borderId="1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8"/>
  <sheetViews>
    <sheetView zoomScale="102" zoomScaleNormal="102" workbookViewId="0">
      <selection activeCell="A226" sqref="A226:F226"/>
    </sheetView>
  </sheetViews>
  <sheetFormatPr defaultColWidth="12.625" defaultRowHeight="15" customHeight="1" x14ac:dyDescent="0.2"/>
  <cols>
    <col min="1" max="1" width="69.75" bestFit="1" customWidth="1"/>
    <col min="2" max="2" width="9.75" bestFit="1" customWidth="1"/>
    <col min="3" max="3" width="24" bestFit="1" customWidth="1"/>
    <col min="4" max="4" width="12.25" bestFit="1" customWidth="1"/>
    <col min="5" max="5" width="9.25" bestFit="1" customWidth="1"/>
    <col min="6" max="6" width="44.125" bestFit="1" customWidth="1"/>
    <col min="7" max="7" width="17.5" bestFit="1" customWidth="1"/>
    <col min="8" max="8" width="17.875" bestFit="1" customWidth="1"/>
    <col min="9" max="9" width="17.875" customWidth="1"/>
    <col min="10" max="10" width="11.75" bestFit="1" customWidth="1"/>
    <col min="11" max="16" width="8" customWidth="1"/>
    <col min="17" max="17" width="43.875" customWidth="1"/>
    <col min="18" max="30" width="8" customWidth="1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2"/>
      <c r="AD2" s="2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2"/>
      <c r="AC3" s="2"/>
      <c r="AD3" s="2"/>
    </row>
    <row r="4" spans="1:30" x14ac:dyDescent="0.2">
      <c r="A4" s="5" t="s">
        <v>219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14" t="s">
        <v>177</v>
      </c>
      <c r="B7" s="15" t="s">
        <v>23</v>
      </c>
      <c r="C7" s="16" t="s">
        <v>178</v>
      </c>
      <c r="D7" s="16" t="s">
        <v>179</v>
      </c>
      <c r="E7" s="17">
        <v>1</v>
      </c>
      <c r="F7" s="14" t="s">
        <v>211</v>
      </c>
      <c r="G7" s="18">
        <v>18000</v>
      </c>
      <c r="H7" s="19">
        <v>0</v>
      </c>
      <c r="I7" s="19">
        <v>0</v>
      </c>
      <c r="J7" s="20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14" t="s">
        <v>180</v>
      </c>
      <c r="B8" s="15" t="s">
        <v>29</v>
      </c>
      <c r="C8" s="16" t="s">
        <v>178</v>
      </c>
      <c r="D8" s="16" t="s">
        <v>181</v>
      </c>
      <c r="E8" s="46">
        <v>1</v>
      </c>
      <c r="F8" s="14" t="s">
        <v>212</v>
      </c>
      <c r="G8" s="18">
        <v>0</v>
      </c>
      <c r="H8" s="19">
        <v>0</v>
      </c>
      <c r="I8" s="19">
        <v>5703.56</v>
      </c>
      <c r="J8" s="20">
        <f t="shared" si="0"/>
        <v>5703.56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14" t="s">
        <v>182</v>
      </c>
      <c r="B9" s="15" t="s">
        <v>41</v>
      </c>
      <c r="C9" s="16" t="s">
        <v>178</v>
      </c>
      <c r="D9" s="16" t="s">
        <v>183</v>
      </c>
      <c r="E9" s="46">
        <v>1</v>
      </c>
      <c r="F9" s="14" t="s">
        <v>183</v>
      </c>
      <c r="G9" s="18">
        <v>0</v>
      </c>
      <c r="H9" s="19">
        <v>0</v>
      </c>
      <c r="I9" s="19">
        <v>0</v>
      </c>
      <c r="J9" s="20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14" t="s">
        <v>182</v>
      </c>
      <c r="B10" s="15" t="s">
        <v>41</v>
      </c>
      <c r="C10" s="16" t="s">
        <v>178</v>
      </c>
      <c r="D10" s="16" t="s">
        <v>183</v>
      </c>
      <c r="E10" s="46">
        <v>1</v>
      </c>
      <c r="F10" s="14" t="s">
        <v>183</v>
      </c>
      <c r="G10" s="18">
        <v>0</v>
      </c>
      <c r="H10" s="19">
        <v>0</v>
      </c>
      <c r="I10" s="19">
        <v>0</v>
      </c>
      <c r="J10" s="20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0" customFormat="1" x14ac:dyDescent="0.2">
      <c r="A11" s="47" t="s">
        <v>182</v>
      </c>
      <c r="B11" s="57" t="s">
        <v>41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s="70" customFormat="1" x14ac:dyDescent="0.2">
      <c r="A12" s="47" t="s">
        <v>184</v>
      </c>
      <c r="B12" s="57" t="s">
        <v>43</v>
      </c>
      <c r="C12" s="57" t="s">
        <v>178</v>
      </c>
      <c r="D12" s="57" t="s">
        <v>183</v>
      </c>
      <c r="E12" s="46">
        <v>1</v>
      </c>
      <c r="F12" s="47" t="s">
        <v>183</v>
      </c>
      <c r="G12" s="44">
        <v>0</v>
      </c>
      <c r="H12" s="44">
        <v>0</v>
      </c>
      <c r="I12" s="44">
        <v>0</v>
      </c>
      <c r="J12" s="45">
        <f t="shared" si="0"/>
        <v>0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s="70" customFormat="1" x14ac:dyDescent="0.2">
      <c r="A13" s="47" t="s">
        <v>185</v>
      </c>
      <c r="B13" s="57" t="s">
        <v>33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s="70" customFormat="1" x14ac:dyDescent="0.2">
      <c r="A14" s="47" t="s">
        <v>186</v>
      </c>
      <c r="B14" s="57" t="s">
        <v>39</v>
      </c>
      <c r="C14" s="57" t="s">
        <v>178</v>
      </c>
      <c r="D14" s="57" t="s">
        <v>183</v>
      </c>
      <c r="E14" s="46">
        <v>1</v>
      </c>
      <c r="F14" s="47" t="s">
        <v>183</v>
      </c>
      <c r="G14" s="44">
        <v>0</v>
      </c>
      <c r="H14" s="44">
        <v>0</v>
      </c>
      <c r="I14" s="44">
        <v>0</v>
      </c>
      <c r="J14" s="45">
        <f t="shared" si="0"/>
        <v>0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s="70" customFormat="1" x14ac:dyDescent="0.2">
      <c r="A15" s="47" t="s">
        <v>187</v>
      </c>
      <c r="B15" s="57" t="s">
        <v>37</v>
      </c>
      <c r="C15" s="57" t="s">
        <v>178</v>
      </c>
      <c r="D15" s="57" t="s">
        <v>188</v>
      </c>
      <c r="E15" s="46">
        <v>1</v>
      </c>
      <c r="F15" s="47" t="s">
        <v>213</v>
      </c>
      <c r="G15" s="44">
        <v>0</v>
      </c>
      <c r="H15" s="44">
        <v>0</v>
      </c>
      <c r="I15" s="44">
        <v>3083.01</v>
      </c>
      <c r="J15" s="45">
        <f t="shared" si="0"/>
        <v>3083.01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s="70" customFormat="1" x14ac:dyDescent="0.2">
      <c r="A16" s="47" t="s">
        <v>189</v>
      </c>
      <c r="B16" s="57" t="s">
        <v>39</v>
      </c>
      <c r="C16" s="57" t="s">
        <v>190</v>
      </c>
      <c r="D16" s="57" t="s">
        <v>183</v>
      </c>
      <c r="E16" s="46">
        <v>1</v>
      </c>
      <c r="F16" s="47" t="s">
        <v>183</v>
      </c>
      <c r="G16" s="44">
        <v>0</v>
      </c>
      <c r="H16" s="44">
        <v>0</v>
      </c>
      <c r="I16" s="44">
        <v>0</v>
      </c>
      <c r="J16" s="45">
        <f t="shared" si="0"/>
        <v>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s="70" customFormat="1" x14ac:dyDescent="0.2">
      <c r="A17" s="47" t="s">
        <v>191</v>
      </c>
      <c r="B17" s="57" t="s">
        <v>25</v>
      </c>
      <c r="C17" s="57" t="s">
        <v>192</v>
      </c>
      <c r="D17" s="57" t="s">
        <v>181</v>
      </c>
      <c r="E17" s="46">
        <v>1</v>
      </c>
      <c r="F17" s="47" t="s">
        <v>214</v>
      </c>
      <c r="G17" s="44">
        <v>0</v>
      </c>
      <c r="H17" s="44">
        <v>0</v>
      </c>
      <c r="I17" s="44">
        <v>10400</v>
      </c>
      <c r="J17" s="45">
        <f t="shared" si="0"/>
        <v>10400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s="70" customFormat="1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s="70" customFormat="1" x14ac:dyDescent="0.2">
      <c r="A19" s="47" t="s">
        <v>195</v>
      </c>
      <c r="B19" s="57" t="s">
        <v>33</v>
      </c>
      <c r="C19" s="57" t="s">
        <v>196</v>
      </c>
      <c r="D19" s="57" t="s">
        <v>183</v>
      </c>
      <c r="E19" s="46">
        <v>1</v>
      </c>
      <c r="F19" s="47" t="s">
        <v>486</v>
      </c>
      <c r="G19" s="44">
        <v>0</v>
      </c>
      <c r="H19" s="44">
        <v>0</v>
      </c>
      <c r="I19" s="44">
        <v>0</v>
      </c>
      <c r="J19" s="45">
        <f t="shared" si="0"/>
        <v>0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s="70" customFormat="1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14" t="s">
        <v>200</v>
      </c>
      <c r="B21" s="15" t="s">
        <v>37</v>
      </c>
      <c r="C21" s="16" t="s">
        <v>201</v>
      </c>
      <c r="D21" s="16" t="s">
        <v>183</v>
      </c>
      <c r="E21" s="17">
        <v>1</v>
      </c>
      <c r="F21" s="14" t="s">
        <v>183</v>
      </c>
      <c r="G21" s="18">
        <v>0</v>
      </c>
      <c r="H21" s="19">
        <v>0</v>
      </c>
      <c r="I21" s="19">
        <v>0</v>
      </c>
      <c r="J21" s="20">
        <f t="shared" si="0"/>
        <v>0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14" t="s">
        <v>202</v>
      </c>
      <c r="B22" s="15" t="s">
        <v>33</v>
      </c>
      <c r="C22" s="16" t="s">
        <v>203</v>
      </c>
      <c r="D22" s="16" t="s">
        <v>183</v>
      </c>
      <c r="E22" s="17">
        <v>1</v>
      </c>
      <c r="F22" s="14" t="s">
        <v>183</v>
      </c>
      <c r="G22" s="18">
        <v>0</v>
      </c>
      <c r="H22" s="19">
        <v>0</v>
      </c>
      <c r="I22" s="19">
        <v>0</v>
      </c>
      <c r="J22" s="20">
        <f t="shared" si="0"/>
        <v>0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14" t="s">
        <v>204</v>
      </c>
      <c r="B23" s="15" t="s">
        <v>37</v>
      </c>
      <c r="C23" s="16" t="s">
        <v>205</v>
      </c>
      <c r="D23" s="16" t="s">
        <v>181</v>
      </c>
      <c r="E23" s="17">
        <v>1</v>
      </c>
      <c r="F23" s="14" t="s">
        <v>217</v>
      </c>
      <c r="G23" s="18">
        <v>0</v>
      </c>
      <c r="H23" s="19">
        <v>0</v>
      </c>
      <c r="I23" s="19">
        <v>3083.01</v>
      </c>
      <c r="J23" s="20">
        <f t="shared" si="0"/>
        <v>3083.01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14" t="s">
        <v>206</v>
      </c>
      <c r="B24" s="15" t="s">
        <v>37</v>
      </c>
      <c r="C24" s="16" t="s">
        <v>207</v>
      </c>
      <c r="D24" s="16" t="s">
        <v>183</v>
      </c>
      <c r="E24" s="17">
        <v>1</v>
      </c>
      <c r="F24" s="14" t="s">
        <v>183</v>
      </c>
      <c r="G24" s="18">
        <v>0</v>
      </c>
      <c r="H24" s="19">
        <v>0</v>
      </c>
      <c r="I24" s="19">
        <v>0</v>
      </c>
      <c r="J24" s="20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14" t="s">
        <v>187</v>
      </c>
      <c r="B25" s="15" t="s">
        <v>37</v>
      </c>
      <c r="C25" s="16" t="s">
        <v>208</v>
      </c>
      <c r="D25" s="16" t="s">
        <v>199</v>
      </c>
      <c r="E25" s="17">
        <v>1</v>
      </c>
      <c r="F25" s="14" t="s">
        <v>218</v>
      </c>
      <c r="G25" s="18">
        <v>0</v>
      </c>
      <c r="H25" s="19">
        <v>24932.44</v>
      </c>
      <c r="I25" s="19">
        <v>3083.01</v>
      </c>
      <c r="J25" s="20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14" t="s">
        <v>209</v>
      </c>
      <c r="B26" s="15" t="s">
        <v>31</v>
      </c>
      <c r="C26" s="16" t="s">
        <v>210</v>
      </c>
      <c r="D26" s="16" t="s">
        <v>183</v>
      </c>
      <c r="E26" s="17">
        <v>1</v>
      </c>
      <c r="F26" s="14" t="s">
        <v>183</v>
      </c>
      <c r="G26" s="18">
        <v>0</v>
      </c>
      <c r="H26" s="19">
        <v>0</v>
      </c>
      <c r="I26" s="19">
        <v>0</v>
      </c>
      <c r="J26" s="20">
        <f t="shared" si="0"/>
        <v>0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23" t="s">
        <v>13</v>
      </c>
      <c r="B27" s="23" t="s">
        <v>14</v>
      </c>
      <c r="C27" s="24" t="s">
        <v>15</v>
      </c>
      <c r="D27" s="24" t="s">
        <v>16</v>
      </c>
      <c r="E27" s="24" t="s">
        <v>17</v>
      </c>
      <c r="F27" s="25"/>
      <c r="G27" s="24" t="s">
        <v>18</v>
      </c>
      <c r="H27" s="24" t="s">
        <v>19</v>
      </c>
      <c r="I27" s="24" t="s">
        <v>20</v>
      </c>
      <c r="J27" s="24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26" t="s">
        <v>22</v>
      </c>
      <c r="B28" s="27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1"/>
      <c r="L28" s="31"/>
      <c r="M28" s="31"/>
      <c r="N28" s="31"/>
      <c r="O28" s="31"/>
      <c r="P28" s="31"/>
      <c r="Q28" s="3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">
      <c r="A29" s="26" t="s">
        <v>24</v>
      </c>
      <c r="B29" s="27" t="s">
        <v>25</v>
      </c>
      <c r="C29" s="28">
        <f>SUMIFS($E$7:$E$26,$B$7:$B$26,"DAS-1",$D$7:$D$26,"&lt;&gt;VAGO")</f>
        <v>1</v>
      </c>
      <c r="D29" s="28">
        <f>SUMIFS($E$7:$E$26,$B$7:$B$26,"DAS-1",$D$7:$D$26,"VAGO")</f>
        <v>0</v>
      </c>
      <c r="E29" s="28">
        <f t="shared" si="1"/>
        <v>1</v>
      </c>
      <c r="F29" s="32"/>
      <c r="G29" s="30">
        <f>SUMIF($B$7:$B$26,"DAS-1",$G$7:$G$26)</f>
        <v>0</v>
      </c>
      <c r="H29" s="30">
        <f>SUMIF($B$7:$B$26,"DAS-1",$H$7:$H$26)</f>
        <v>0</v>
      </c>
      <c r="I29" s="30">
        <f>SUMIF($B$7:$B$26,"DAS-1",$I$7:$I$26)</f>
        <v>10400</v>
      </c>
      <c r="J29" s="30">
        <f>SUMIF($B$7:$B$26,"DAS-1",$J$7:$J$26)</f>
        <v>10400</v>
      </c>
      <c r="K29" s="31"/>
      <c r="L29" s="31"/>
      <c r="M29" s="31"/>
      <c r="N29" s="31"/>
      <c r="O29" s="31"/>
      <c r="P29" s="31"/>
      <c r="Q29" s="3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">
      <c r="A30" s="26" t="s">
        <v>26</v>
      </c>
      <c r="B30" s="17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1"/>
      <c r="L30" s="31"/>
      <c r="M30" s="31"/>
      <c r="N30" s="31"/>
      <c r="O30" s="31"/>
      <c r="P30" s="31"/>
      <c r="Q30" s="31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">
      <c r="A31" s="26" t="s">
        <v>28</v>
      </c>
      <c r="B31" s="17" t="s">
        <v>29</v>
      </c>
      <c r="C31" s="28">
        <f>SUMIFS($E$7:$E$26,$B$7:$B$26,"DAS-3",$D$7:$D$26,"&lt;&gt;VAGO")</f>
        <v>1</v>
      </c>
      <c r="D31" s="28">
        <f>SUMIFS($E$7:$E$26,$B$7:$B$26,"DAS-3",$D$7:$D$26,"VAGO")</f>
        <v>0</v>
      </c>
      <c r="E31" s="28">
        <f t="shared" si="1"/>
        <v>1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5703.56</v>
      </c>
      <c r="J31" s="30">
        <f>SUMIF($B$7:$B$26,"DAS-3",$J$7:$J$26)</f>
        <v>5703.56</v>
      </c>
      <c r="K31" s="31"/>
      <c r="L31" s="31"/>
      <c r="M31" s="31"/>
      <c r="N31" s="31"/>
      <c r="O31" s="31"/>
      <c r="P31" s="31"/>
      <c r="Q31" s="31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">
      <c r="A32" s="33" t="s">
        <v>30</v>
      </c>
      <c r="B32" s="27" t="s">
        <v>31</v>
      </c>
      <c r="C32" s="28">
        <f>SUMIFS($E$7:$E$26,$B$7:$B$26,"DAS-4",$D$7:$D$26,"&lt;&gt;VAGO")</f>
        <v>0</v>
      </c>
      <c r="D32" s="28">
        <f>SUMIFS($E$7:$E$26,$B$7:$B$26,"DAS-4",$D$7:$D$26,"VAGO")</f>
        <v>1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0</v>
      </c>
      <c r="I32" s="30">
        <f>SUMIF($B$7:$B$26,"DAS-4",$I$7:$I$26)</f>
        <v>0</v>
      </c>
      <c r="J32" s="30">
        <f>SUMIF($B$7:$B$26,"DAS-4",$J$7:$J$26)</f>
        <v>0</v>
      </c>
      <c r="K32" s="31"/>
      <c r="L32" s="31"/>
      <c r="M32" s="31"/>
      <c r="N32" s="31"/>
      <c r="O32" s="31"/>
      <c r="P32" s="31"/>
      <c r="Q32" s="31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">
      <c r="A33" s="33" t="s">
        <v>32</v>
      </c>
      <c r="B33" s="17" t="s">
        <v>33</v>
      </c>
      <c r="C33" s="28">
        <f>SUMIFS($E$7:$E$26,$B$7:$B$26,"DAS-5",$D$7:$D$26,"&lt;&gt;VAGO")</f>
        <v>2</v>
      </c>
      <c r="D33" s="28">
        <f>SUMIFS($E$7:$E$26,$B$7:$B$26,"DAS-5",$D$7:$D$26,"VAGO")</f>
        <v>3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1109.1600000000001</v>
      </c>
      <c r="I33" s="30">
        <f>SUMIF($B$7:$B$26,"DAS-5",$I$7:$I$26)</f>
        <v>8632.42</v>
      </c>
      <c r="J33" s="30">
        <f>SUMIF($B$7:$B$26,"DAS-5",$J$7:$J$26)</f>
        <v>9741.58</v>
      </c>
      <c r="K33" s="31"/>
      <c r="L33" s="31"/>
      <c r="M33" s="31"/>
      <c r="N33" s="31"/>
      <c r="O33" s="31"/>
      <c r="P33" s="31"/>
      <c r="Q33" s="31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">
      <c r="A34" s="33" t="s">
        <v>34</v>
      </c>
      <c r="B34" s="27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1"/>
      <c r="L34" s="31"/>
      <c r="M34" s="31"/>
      <c r="N34" s="31"/>
      <c r="O34" s="31"/>
      <c r="P34" s="31"/>
      <c r="Q34" s="31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">
      <c r="A35" s="33" t="s">
        <v>36</v>
      </c>
      <c r="B35" s="27" t="s">
        <v>37</v>
      </c>
      <c r="C35" s="28">
        <f>SUMIFS($E$7:$E$26,$B$7:$B$26,"CAA-2",$D$7:$D$26,"&lt;&gt;VAGO")</f>
        <v>3</v>
      </c>
      <c r="D35" s="28">
        <f>SUMIFS($E$7:$E$26,$B$7:$B$26,"CAA-2",$D$7:$D$26,"VAGO")</f>
        <v>2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24932.44</v>
      </c>
      <c r="I35" s="30">
        <f>SUMIF($B$7:$B$26,"CAA-2",$I$7:$I$26)</f>
        <v>9249.0300000000007</v>
      </c>
      <c r="J35" s="30">
        <f>SUMIF($B$7:$B$26,"CAA-2",$J$7:$J$26)</f>
        <v>34181.47</v>
      </c>
      <c r="K35" s="31"/>
      <c r="L35" s="31"/>
      <c r="M35" s="31"/>
      <c r="N35" s="31"/>
      <c r="O35" s="31"/>
      <c r="P35" s="31"/>
      <c r="Q35" s="31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">
      <c r="A36" s="33" t="s">
        <v>38</v>
      </c>
      <c r="B36" s="17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1"/>
      <c r="L36" s="31"/>
      <c r="M36" s="31"/>
      <c r="N36" s="31"/>
      <c r="O36" s="31"/>
      <c r="P36" s="31"/>
      <c r="Q36" s="31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">
      <c r="A37" s="33" t="s">
        <v>40</v>
      </c>
      <c r="B37" s="17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1"/>
      <c r="L37" s="31"/>
      <c r="M37" s="31"/>
      <c r="N37" s="31"/>
      <c r="O37" s="31"/>
      <c r="P37" s="31"/>
      <c r="Q37" s="31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">
      <c r="A38" s="33" t="s">
        <v>42</v>
      </c>
      <c r="B38" s="17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1"/>
      <c r="L38" s="31"/>
      <c r="M38" s="31"/>
      <c r="N38" s="31"/>
      <c r="O38" s="31"/>
      <c r="P38" s="31"/>
      <c r="Q38" s="31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">
      <c r="A39" s="23" t="s">
        <v>44</v>
      </c>
      <c r="B39" s="25"/>
      <c r="C39" s="35">
        <f>SUM(C28:C38)</f>
        <v>8</v>
      </c>
      <c r="D39" s="35">
        <f>SUM(D28:D38)</f>
        <v>12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26041.599999999999</v>
      </c>
      <c r="I39" s="36">
        <f t="shared" si="2"/>
        <v>33985.01</v>
      </c>
      <c r="J39" s="36">
        <f t="shared" si="2"/>
        <v>78026.61</v>
      </c>
      <c r="K39" s="31"/>
      <c r="L39" s="31"/>
      <c r="M39" s="31"/>
      <c r="N39" s="31"/>
      <c r="O39" s="31"/>
      <c r="P39" s="31"/>
      <c r="Q39" s="31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2">
      <c r="A40" s="37"/>
      <c r="B40" s="31"/>
      <c r="C40" s="31"/>
      <c r="D40" s="31"/>
      <c r="E40" s="31"/>
      <c r="F40" s="31"/>
      <c r="G40" s="31"/>
      <c r="H40" s="21"/>
      <c r="I40" s="21"/>
      <c r="J40" s="38"/>
      <c r="K40" s="31"/>
      <c r="L40" s="31"/>
      <c r="M40" s="31"/>
      <c r="N40" s="31"/>
      <c r="O40" s="31"/>
      <c r="P40" s="31"/>
      <c r="Q40" s="3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1"/>
      <c r="K41" s="7"/>
      <c r="L41" s="31"/>
      <c r="M41" s="31"/>
      <c r="N41" s="31"/>
      <c r="O41" s="31"/>
      <c r="P41" s="31"/>
      <c r="Q41" s="31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39"/>
      <c r="K42" s="7"/>
      <c r="L42" s="39"/>
      <c r="M42" s="39"/>
      <c r="N42" s="39"/>
      <c r="O42" s="39"/>
      <c r="P42" s="39"/>
      <c r="Q42" s="39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1" t="s">
        <v>221</v>
      </c>
      <c r="B43" s="42" t="s">
        <v>68</v>
      </c>
      <c r="C43" s="16" t="s">
        <v>178</v>
      </c>
      <c r="D43" s="15" t="s">
        <v>181</v>
      </c>
      <c r="E43" s="27">
        <v>1</v>
      </c>
      <c r="F43" s="43" t="s">
        <v>300</v>
      </c>
      <c r="G43" s="44">
        <v>0</v>
      </c>
      <c r="H43" s="44">
        <v>5241.1099999999997</v>
      </c>
      <c r="I43" s="45">
        <f t="shared" ref="I43:I83" si="3">SUM(G43:H43)</f>
        <v>5241.1099999999997</v>
      </c>
      <c r="J43" s="31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1" t="s">
        <v>222</v>
      </c>
      <c r="B44" s="42" t="s">
        <v>68</v>
      </c>
      <c r="C44" s="16" t="s">
        <v>223</v>
      </c>
      <c r="D44" s="15" t="s">
        <v>199</v>
      </c>
      <c r="E44" s="27">
        <v>1</v>
      </c>
      <c r="F44" s="43" t="s">
        <v>301</v>
      </c>
      <c r="G44" s="44">
        <v>16704.73</v>
      </c>
      <c r="H44" s="44">
        <v>5241.1099999999997</v>
      </c>
      <c r="I44" s="45">
        <f t="shared" si="3"/>
        <v>21945.84</v>
      </c>
      <c r="J44" s="31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41" t="s">
        <v>224</v>
      </c>
      <c r="B45" s="42" t="s">
        <v>72</v>
      </c>
      <c r="C45" s="16" t="s">
        <v>225</v>
      </c>
      <c r="D45" s="15" t="s">
        <v>181</v>
      </c>
      <c r="E45" s="46">
        <v>1</v>
      </c>
      <c r="F45" s="14" t="s">
        <v>302</v>
      </c>
      <c r="G45" s="44">
        <v>0</v>
      </c>
      <c r="H45" s="44">
        <v>3083.01</v>
      </c>
      <c r="I45" s="45">
        <f t="shared" si="3"/>
        <v>3083.01</v>
      </c>
      <c r="J45" s="31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226</v>
      </c>
      <c r="B46" s="42" t="s">
        <v>66</v>
      </c>
      <c r="C46" s="15" t="s">
        <v>227</v>
      </c>
      <c r="D46" s="15" t="s">
        <v>181</v>
      </c>
      <c r="E46" s="27">
        <v>1</v>
      </c>
      <c r="F46" s="14" t="s">
        <v>303</v>
      </c>
      <c r="G46" s="44">
        <v>0</v>
      </c>
      <c r="H46" s="44">
        <v>5703.56</v>
      </c>
      <c r="I46" s="45">
        <f t="shared" si="3"/>
        <v>5703.56</v>
      </c>
      <c r="J46" s="31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s="70" customFormat="1" x14ac:dyDescent="0.2">
      <c r="A47" s="47" t="s">
        <v>228</v>
      </c>
      <c r="B47" s="42" t="s">
        <v>72</v>
      </c>
      <c r="C47" s="57" t="s">
        <v>229</v>
      </c>
      <c r="D47" s="57" t="s">
        <v>181</v>
      </c>
      <c r="E47" s="46">
        <v>1</v>
      </c>
      <c r="F47" s="47" t="s">
        <v>304</v>
      </c>
      <c r="G47" s="44">
        <v>0</v>
      </c>
      <c r="H47" s="44">
        <v>3083.01</v>
      </c>
      <c r="I47" s="45">
        <f t="shared" si="3"/>
        <v>3083.01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s="70" customFormat="1" x14ac:dyDescent="0.2">
      <c r="A48" s="47" t="s">
        <v>230</v>
      </c>
      <c r="B48" s="42" t="s">
        <v>68</v>
      </c>
      <c r="C48" s="57" t="s">
        <v>231</v>
      </c>
      <c r="D48" s="57" t="s">
        <v>199</v>
      </c>
      <c r="E48" s="46">
        <v>1</v>
      </c>
      <c r="F48" s="47" t="s">
        <v>305</v>
      </c>
      <c r="G48" s="44">
        <v>16704.73</v>
      </c>
      <c r="H48" s="44">
        <v>5241.1099999999997</v>
      </c>
      <c r="I48" s="45">
        <f t="shared" si="3"/>
        <v>21945.84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s="70" customFormat="1" x14ac:dyDescent="0.2">
      <c r="A49" s="47" t="s">
        <v>232</v>
      </c>
      <c r="B49" s="42" t="s">
        <v>68</v>
      </c>
      <c r="C49" s="57" t="s">
        <v>233</v>
      </c>
      <c r="D49" s="57" t="s">
        <v>181</v>
      </c>
      <c r="E49" s="46">
        <v>1</v>
      </c>
      <c r="F49" s="47" t="s">
        <v>306</v>
      </c>
      <c r="G49" s="44">
        <v>0</v>
      </c>
      <c r="H49" s="44">
        <v>5241.1099999999997</v>
      </c>
      <c r="I49" s="45">
        <f t="shared" si="3"/>
        <v>5241.1099999999997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s="70" customFormat="1" x14ac:dyDescent="0.2">
      <c r="A50" s="47" t="s">
        <v>234</v>
      </c>
      <c r="B50" s="42" t="s">
        <v>68</v>
      </c>
      <c r="C50" s="57" t="s">
        <v>223</v>
      </c>
      <c r="D50" s="57" t="s">
        <v>181</v>
      </c>
      <c r="E50" s="46">
        <v>1</v>
      </c>
      <c r="F50" s="47" t="s">
        <v>307</v>
      </c>
      <c r="G50" s="44">
        <v>0</v>
      </c>
      <c r="H50" s="44">
        <v>5241.1099999999997</v>
      </c>
      <c r="I50" s="45">
        <f t="shared" si="3"/>
        <v>5241.1099999999997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s="70" customFormat="1" x14ac:dyDescent="0.2">
      <c r="A51" s="47" t="s">
        <v>235</v>
      </c>
      <c r="B51" s="42" t="s">
        <v>66</v>
      </c>
      <c r="C51" s="57" t="s">
        <v>236</v>
      </c>
      <c r="D51" s="57" t="s">
        <v>181</v>
      </c>
      <c r="E51" s="46">
        <v>1</v>
      </c>
      <c r="F51" s="47" t="s">
        <v>308</v>
      </c>
      <c r="G51" s="44">
        <v>0</v>
      </c>
      <c r="H51" s="44">
        <v>5703.56</v>
      </c>
      <c r="I51" s="45">
        <f t="shared" si="3"/>
        <v>5703.56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s="70" customFormat="1" x14ac:dyDescent="0.2">
      <c r="A52" s="47" t="s">
        <v>237</v>
      </c>
      <c r="B52" s="42" t="s">
        <v>72</v>
      </c>
      <c r="C52" s="57" t="s">
        <v>238</v>
      </c>
      <c r="D52" s="57" t="s">
        <v>181</v>
      </c>
      <c r="E52" s="46">
        <v>1</v>
      </c>
      <c r="F52" s="47" t="s">
        <v>309</v>
      </c>
      <c r="G52" s="44">
        <v>0</v>
      </c>
      <c r="H52" s="44">
        <v>3083.01</v>
      </c>
      <c r="I52" s="45">
        <f t="shared" si="3"/>
        <v>3083.01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s="70" customFormat="1" x14ac:dyDescent="0.2">
      <c r="A53" s="47" t="s">
        <v>239</v>
      </c>
      <c r="B53" s="42" t="s">
        <v>72</v>
      </c>
      <c r="C53" s="57" t="s">
        <v>240</v>
      </c>
      <c r="D53" s="57" t="s">
        <v>181</v>
      </c>
      <c r="E53" s="46">
        <v>1</v>
      </c>
      <c r="F53" s="47" t="s">
        <v>310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s="70" customFormat="1" x14ac:dyDescent="0.2">
      <c r="A54" s="47" t="s">
        <v>241</v>
      </c>
      <c r="B54" s="42" t="s">
        <v>72</v>
      </c>
      <c r="C54" s="57" t="s">
        <v>242</v>
      </c>
      <c r="D54" s="57" t="s">
        <v>181</v>
      </c>
      <c r="E54" s="46">
        <v>1</v>
      </c>
      <c r="F54" s="47" t="s">
        <v>311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s="70" customFormat="1" x14ac:dyDescent="0.2">
      <c r="A55" s="47" t="s">
        <v>243</v>
      </c>
      <c r="B55" s="42" t="s">
        <v>72</v>
      </c>
      <c r="C55" s="57" t="s">
        <v>244</v>
      </c>
      <c r="D55" s="57" t="s">
        <v>181</v>
      </c>
      <c r="E55" s="46">
        <v>1</v>
      </c>
      <c r="F55" s="47" t="s">
        <v>312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s="70" customFormat="1" x14ac:dyDescent="0.2">
      <c r="A56" s="47" t="s">
        <v>245</v>
      </c>
      <c r="B56" s="42" t="s">
        <v>72</v>
      </c>
      <c r="C56" s="57" t="s">
        <v>246</v>
      </c>
      <c r="D56" s="57" t="s">
        <v>181</v>
      </c>
      <c r="E56" s="46">
        <v>1</v>
      </c>
      <c r="F56" s="47" t="s">
        <v>313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s="70" customFormat="1" x14ac:dyDescent="0.2">
      <c r="A57" s="47" t="s">
        <v>247</v>
      </c>
      <c r="B57" s="42" t="s">
        <v>66</v>
      </c>
      <c r="C57" s="57" t="s">
        <v>248</v>
      </c>
      <c r="D57" s="57" t="s">
        <v>181</v>
      </c>
      <c r="E57" s="46">
        <v>1</v>
      </c>
      <c r="F57" s="47" t="s">
        <v>314</v>
      </c>
      <c r="G57" s="44">
        <v>0</v>
      </c>
      <c r="H57" s="44">
        <v>5703.56</v>
      </c>
      <c r="I57" s="45">
        <f t="shared" si="3"/>
        <v>5703.56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s="70" customFormat="1" x14ac:dyDescent="0.2">
      <c r="A58" s="47" t="s">
        <v>249</v>
      </c>
      <c r="B58" s="42" t="s">
        <v>72</v>
      </c>
      <c r="C58" s="57" t="s">
        <v>250</v>
      </c>
      <c r="D58" s="57" t="s">
        <v>181</v>
      </c>
      <c r="E58" s="46">
        <v>1</v>
      </c>
      <c r="F58" s="47" t="s">
        <v>315</v>
      </c>
      <c r="G58" s="44">
        <v>0</v>
      </c>
      <c r="H58" s="44">
        <v>3083.01</v>
      </c>
      <c r="I58" s="45">
        <f t="shared" si="3"/>
        <v>3083.01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s="70" customFormat="1" x14ac:dyDescent="0.2">
      <c r="A59" s="47" t="s">
        <v>251</v>
      </c>
      <c r="B59" s="42" t="s">
        <v>72</v>
      </c>
      <c r="C59" s="57" t="s">
        <v>252</v>
      </c>
      <c r="D59" s="57" t="s">
        <v>199</v>
      </c>
      <c r="E59" s="46">
        <v>1</v>
      </c>
      <c r="F59" s="47" t="s">
        <v>316</v>
      </c>
      <c r="G59" s="44">
        <v>831.26</v>
      </c>
      <c r="H59" s="44">
        <v>3083.01</v>
      </c>
      <c r="I59" s="45">
        <f t="shared" si="3"/>
        <v>3914.2700000000004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s="70" customFormat="1" x14ac:dyDescent="0.2">
      <c r="A60" s="47" t="s">
        <v>253</v>
      </c>
      <c r="B60" s="42" t="s">
        <v>70</v>
      </c>
      <c r="C60" s="57" t="s">
        <v>254</v>
      </c>
      <c r="D60" s="57" t="s">
        <v>181</v>
      </c>
      <c r="E60" s="46">
        <v>1</v>
      </c>
      <c r="F60" s="47" t="s">
        <v>317</v>
      </c>
      <c r="G60" s="44">
        <v>0</v>
      </c>
      <c r="H60" s="44">
        <v>4316.21</v>
      </c>
      <c r="I60" s="45">
        <f t="shared" si="3"/>
        <v>4316.21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s="70" customFormat="1" x14ac:dyDescent="0.2">
      <c r="A61" s="47" t="s">
        <v>255</v>
      </c>
      <c r="B61" s="42" t="s">
        <v>72</v>
      </c>
      <c r="C61" s="57" t="s">
        <v>256</v>
      </c>
      <c r="D61" s="57" t="s">
        <v>181</v>
      </c>
      <c r="E61" s="46">
        <v>1</v>
      </c>
      <c r="F61" s="47" t="s">
        <v>318</v>
      </c>
      <c r="G61" s="44">
        <v>0</v>
      </c>
      <c r="H61" s="44">
        <v>3083.01</v>
      </c>
      <c r="I61" s="45">
        <f t="shared" si="3"/>
        <v>3083.01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s="70" customFormat="1" x14ac:dyDescent="0.2">
      <c r="A62" s="47" t="s">
        <v>257</v>
      </c>
      <c r="B62" s="42" t="s">
        <v>72</v>
      </c>
      <c r="C62" s="57" t="s">
        <v>258</v>
      </c>
      <c r="D62" s="57" t="s">
        <v>181</v>
      </c>
      <c r="E62" s="46">
        <v>1</v>
      </c>
      <c r="F62" s="47" t="s">
        <v>319</v>
      </c>
      <c r="G62" s="44">
        <v>0</v>
      </c>
      <c r="H62" s="44">
        <v>3083.01</v>
      </c>
      <c r="I62" s="45">
        <f t="shared" si="3"/>
        <v>3083.01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s="70" customFormat="1" x14ac:dyDescent="0.2">
      <c r="A63" s="47" t="s">
        <v>259</v>
      </c>
      <c r="B63" s="42" t="s">
        <v>66</v>
      </c>
      <c r="C63" s="57" t="s">
        <v>260</v>
      </c>
      <c r="D63" s="57" t="s">
        <v>181</v>
      </c>
      <c r="E63" s="46">
        <v>1</v>
      </c>
      <c r="F63" s="47" t="s">
        <v>320</v>
      </c>
      <c r="G63" s="44">
        <v>0</v>
      </c>
      <c r="H63" s="44">
        <v>5703.56</v>
      </c>
      <c r="I63" s="45">
        <f t="shared" si="3"/>
        <v>5703.56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s="70" customFormat="1" x14ac:dyDescent="0.2">
      <c r="A64" s="47" t="s">
        <v>261</v>
      </c>
      <c r="B64" s="42" t="s">
        <v>72</v>
      </c>
      <c r="C64" s="57" t="s">
        <v>262</v>
      </c>
      <c r="D64" s="57" t="s">
        <v>181</v>
      </c>
      <c r="E64" s="46">
        <v>1</v>
      </c>
      <c r="F64" s="47" t="s">
        <v>321</v>
      </c>
      <c r="G64" s="44">
        <v>0</v>
      </c>
      <c r="H64" s="44">
        <v>3083.01</v>
      </c>
      <c r="I64" s="45">
        <f t="shared" si="3"/>
        <v>3083.01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s="70" customFormat="1" x14ac:dyDescent="0.2">
      <c r="A65" s="47" t="s">
        <v>263</v>
      </c>
      <c r="B65" s="42" t="s">
        <v>72</v>
      </c>
      <c r="C65" s="57" t="s">
        <v>264</v>
      </c>
      <c r="D65" s="57" t="s">
        <v>181</v>
      </c>
      <c r="E65" s="46">
        <v>1</v>
      </c>
      <c r="F65" s="47" t="s">
        <v>322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s="70" customFormat="1" x14ac:dyDescent="0.2">
      <c r="A66" s="47" t="s">
        <v>265</v>
      </c>
      <c r="B66" s="42" t="s">
        <v>72</v>
      </c>
      <c r="C66" s="57" t="s">
        <v>266</v>
      </c>
      <c r="D66" s="57" t="s">
        <v>181</v>
      </c>
      <c r="E66" s="46">
        <v>1</v>
      </c>
      <c r="F66" s="47" t="s">
        <v>323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s="70" customFormat="1" x14ac:dyDescent="0.2">
      <c r="A67" s="47" t="s">
        <v>267</v>
      </c>
      <c r="B67" s="42" t="s">
        <v>72</v>
      </c>
      <c r="C67" s="57" t="s">
        <v>268</v>
      </c>
      <c r="D67" s="57" t="s">
        <v>181</v>
      </c>
      <c r="E67" s="46">
        <v>1</v>
      </c>
      <c r="F67" s="47" t="s">
        <v>324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s="70" customFormat="1" x14ac:dyDescent="0.2">
      <c r="A68" s="47" t="s">
        <v>269</v>
      </c>
      <c r="B68" s="42" t="s">
        <v>72</v>
      </c>
      <c r="C68" s="57" t="s">
        <v>270</v>
      </c>
      <c r="D68" s="57" t="s">
        <v>181</v>
      </c>
      <c r="E68" s="46">
        <v>1</v>
      </c>
      <c r="F68" s="47" t="s">
        <v>325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s="70" customFormat="1" x14ac:dyDescent="0.2">
      <c r="A69" s="47" t="s">
        <v>271</v>
      </c>
      <c r="B69" s="42" t="s">
        <v>72</v>
      </c>
      <c r="C69" s="57" t="s">
        <v>272</v>
      </c>
      <c r="D69" s="57" t="s">
        <v>181</v>
      </c>
      <c r="E69" s="46">
        <v>1</v>
      </c>
      <c r="F69" s="47" t="s">
        <v>326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s="70" customFormat="1" x14ac:dyDescent="0.2">
      <c r="A70" s="47" t="s">
        <v>273</v>
      </c>
      <c r="B70" s="42" t="s">
        <v>72</v>
      </c>
      <c r="C70" s="57" t="s">
        <v>274</v>
      </c>
      <c r="D70" s="57" t="s">
        <v>181</v>
      </c>
      <c r="E70" s="46">
        <v>1</v>
      </c>
      <c r="F70" s="47" t="s">
        <v>327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s="70" customFormat="1" x14ac:dyDescent="0.2">
      <c r="A71" s="47" t="s">
        <v>275</v>
      </c>
      <c r="B71" s="42" t="s">
        <v>72</v>
      </c>
      <c r="C71" s="57" t="s">
        <v>260</v>
      </c>
      <c r="D71" s="57" t="s">
        <v>181</v>
      </c>
      <c r="E71" s="46">
        <v>1</v>
      </c>
      <c r="F71" s="47" t="s">
        <v>328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s="70" customFormat="1" x14ac:dyDescent="0.2">
      <c r="A72" s="47" t="s">
        <v>276</v>
      </c>
      <c r="B72" s="42" t="s">
        <v>72</v>
      </c>
      <c r="C72" s="57" t="s">
        <v>277</v>
      </c>
      <c r="D72" s="57" t="s">
        <v>181</v>
      </c>
      <c r="E72" s="46">
        <v>1</v>
      </c>
      <c r="F72" s="47" t="s">
        <v>329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s="70" customFormat="1" x14ac:dyDescent="0.2">
      <c r="A73" s="47" t="s">
        <v>278</v>
      </c>
      <c r="B73" s="42" t="s">
        <v>72</v>
      </c>
      <c r="C73" s="57" t="s">
        <v>279</v>
      </c>
      <c r="D73" s="57" t="s">
        <v>181</v>
      </c>
      <c r="E73" s="46">
        <v>1</v>
      </c>
      <c r="F73" s="47" t="s">
        <v>330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70" customFormat="1" x14ac:dyDescent="0.2">
      <c r="A74" s="47" t="s">
        <v>280</v>
      </c>
      <c r="B74" s="42" t="s">
        <v>66</v>
      </c>
      <c r="C74" s="57" t="s">
        <v>281</v>
      </c>
      <c r="D74" s="57" t="s">
        <v>181</v>
      </c>
      <c r="E74" s="46">
        <v>1</v>
      </c>
      <c r="F74" s="47" t="s">
        <v>331</v>
      </c>
      <c r="G74" s="44">
        <v>0</v>
      </c>
      <c r="H74" s="44">
        <v>5703.56</v>
      </c>
      <c r="I74" s="45">
        <f t="shared" si="3"/>
        <v>5703.56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s="70" customFormat="1" x14ac:dyDescent="0.2">
      <c r="A75" s="47" t="s">
        <v>282</v>
      </c>
      <c r="B75" s="42" t="s">
        <v>72</v>
      </c>
      <c r="C75" s="57" t="s">
        <v>283</v>
      </c>
      <c r="D75" s="57" t="s">
        <v>181</v>
      </c>
      <c r="E75" s="46">
        <v>1</v>
      </c>
      <c r="F75" s="47" t="s">
        <v>332</v>
      </c>
      <c r="G75" s="44">
        <v>0</v>
      </c>
      <c r="H75" s="44">
        <v>3083.01</v>
      </c>
      <c r="I75" s="45">
        <f t="shared" si="3"/>
        <v>3083.01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s="70" customFormat="1" x14ac:dyDescent="0.2">
      <c r="A76" s="47" t="s">
        <v>284</v>
      </c>
      <c r="B76" s="42" t="s">
        <v>72</v>
      </c>
      <c r="C76" s="57" t="s">
        <v>285</v>
      </c>
      <c r="D76" s="57" t="s">
        <v>181</v>
      </c>
      <c r="E76" s="46">
        <v>1</v>
      </c>
      <c r="F76" s="47" t="s">
        <v>333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s="70" customFormat="1" x14ac:dyDescent="0.2">
      <c r="A77" s="47" t="s">
        <v>286</v>
      </c>
      <c r="B77" s="42" t="s">
        <v>72</v>
      </c>
      <c r="C77" s="57" t="s">
        <v>287</v>
      </c>
      <c r="D77" s="57" t="s">
        <v>181</v>
      </c>
      <c r="E77" s="46">
        <v>1</v>
      </c>
      <c r="F77" s="47" t="s">
        <v>334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288</v>
      </c>
      <c r="B78" s="42" t="s">
        <v>70</v>
      </c>
      <c r="C78" s="15" t="s">
        <v>289</v>
      </c>
      <c r="D78" s="15" t="s">
        <v>181</v>
      </c>
      <c r="E78" s="27">
        <v>1</v>
      </c>
      <c r="F78" s="14" t="s">
        <v>335</v>
      </c>
      <c r="G78" s="44">
        <v>0</v>
      </c>
      <c r="H78" s="44">
        <v>4316.21</v>
      </c>
      <c r="I78" s="45">
        <f t="shared" si="3"/>
        <v>4316.21</v>
      </c>
      <c r="J78" s="31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290</v>
      </c>
      <c r="B79" s="42" t="s">
        <v>66</v>
      </c>
      <c r="C79" s="15" t="s">
        <v>291</v>
      </c>
      <c r="D79" s="15" t="s">
        <v>181</v>
      </c>
      <c r="E79" s="27">
        <v>1</v>
      </c>
      <c r="F79" s="14" t="s">
        <v>336</v>
      </c>
      <c r="G79" s="44">
        <v>0</v>
      </c>
      <c r="H79" s="44">
        <v>5703.56</v>
      </c>
      <c r="I79" s="45">
        <f t="shared" si="3"/>
        <v>5703.56</v>
      </c>
      <c r="J79" s="31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292</v>
      </c>
      <c r="B80" s="42" t="s">
        <v>72</v>
      </c>
      <c r="C80" s="15" t="s">
        <v>293</v>
      </c>
      <c r="D80" s="15" t="s">
        <v>199</v>
      </c>
      <c r="E80" s="27">
        <v>1</v>
      </c>
      <c r="F80" s="14" t="s">
        <v>337</v>
      </c>
      <c r="G80" s="44">
        <v>1509.2</v>
      </c>
      <c r="H80" s="44">
        <v>3083.01</v>
      </c>
      <c r="I80" s="45">
        <f t="shared" si="3"/>
        <v>4592.21</v>
      </c>
      <c r="J80" s="31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294</v>
      </c>
      <c r="B81" s="42" t="s">
        <v>72</v>
      </c>
      <c r="C81" s="15" t="s">
        <v>295</v>
      </c>
      <c r="D81" s="15" t="s">
        <v>183</v>
      </c>
      <c r="E81" s="27">
        <v>1</v>
      </c>
      <c r="F81" s="14" t="s">
        <v>183</v>
      </c>
      <c r="G81" s="44">
        <v>0</v>
      </c>
      <c r="H81" s="44">
        <v>0</v>
      </c>
      <c r="I81" s="45">
        <f t="shared" si="3"/>
        <v>0</v>
      </c>
      <c r="J81" s="31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296</v>
      </c>
      <c r="B82" s="42" t="s">
        <v>72</v>
      </c>
      <c r="C82" s="15" t="s">
        <v>297</v>
      </c>
      <c r="D82" s="15" t="s">
        <v>199</v>
      </c>
      <c r="E82" s="27">
        <v>1</v>
      </c>
      <c r="F82" s="14" t="s">
        <v>338</v>
      </c>
      <c r="G82" s="44">
        <v>1509.2</v>
      </c>
      <c r="H82" s="44">
        <v>3083.01</v>
      </c>
      <c r="I82" s="45">
        <f t="shared" si="3"/>
        <v>4592.21</v>
      </c>
      <c r="J82" s="31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298</v>
      </c>
      <c r="B83" s="42" t="s">
        <v>68</v>
      </c>
      <c r="C83" s="15" t="s">
        <v>299</v>
      </c>
      <c r="D83" s="15" t="s">
        <v>181</v>
      </c>
      <c r="E83" s="27">
        <v>1</v>
      </c>
      <c r="F83" s="14" t="s">
        <v>339</v>
      </c>
      <c r="G83" s="44">
        <v>0</v>
      </c>
      <c r="H83" s="44">
        <v>5241.1099999999997</v>
      </c>
      <c r="I83" s="45">
        <f t="shared" si="3"/>
        <v>5241.1099999999997</v>
      </c>
      <c r="J83" s="31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45" x14ac:dyDescent="0.2">
      <c r="A84" s="23" t="s">
        <v>55</v>
      </c>
      <c r="B84" s="23" t="s">
        <v>56</v>
      </c>
      <c r="C84" s="24" t="s">
        <v>57</v>
      </c>
      <c r="D84" s="24" t="s">
        <v>58</v>
      </c>
      <c r="E84" s="24" t="s">
        <v>59</v>
      </c>
      <c r="F84" s="48"/>
      <c r="G84" s="24" t="s">
        <v>60</v>
      </c>
      <c r="H84" s="24" t="s">
        <v>61</v>
      </c>
      <c r="I84" s="24" t="s">
        <v>62</v>
      </c>
      <c r="J84" s="31"/>
      <c r="K84" s="7"/>
      <c r="L84" s="7"/>
      <c r="M84" s="7"/>
      <c r="N84" s="7"/>
      <c r="O84" s="7"/>
      <c r="P84" s="7"/>
      <c r="Q84" s="7"/>
      <c r="R84" s="4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1:30" x14ac:dyDescent="0.2">
      <c r="A85" s="26" t="s">
        <v>63</v>
      </c>
      <c r="B85" s="50" t="s">
        <v>64</v>
      </c>
      <c r="C85" s="28">
        <f>SUMIFS($E$43:$E$83,$B$43:$B$83,"FDA",$D$43:$D$83,"&lt;&gt;VAGO")</f>
        <v>0</v>
      </c>
      <c r="D85" s="28">
        <f>SUMIFS($E$43:$E$83,$B$43:$B$83,"FDA",$D$43:$D$83,"VAGO")</f>
        <v>0</v>
      </c>
      <c r="E85" s="28">
        <f t="shared" ref="E85:E89" si="4">C85+D85</f>
        <v>0</v>
      </c>
      <c r="F85" s="29"/>
      <c r="G85" s="20">
        <f>SUMIF($B$43:$B$83,"FDA",$G$43:$G$83)</f>
        <v>0</v>
      </c>
      <c r="H85" s="20">
        <f>SUMIF($B$43:$B$83,"FDA",$H$43:$H$83)</f>
        <v>0</v>
      </c>
      <c r="I85" s="20">
        <f>SUMIF($B$43:$B$83,"FDA",$I$43:$I$83)</f>
        <v>0</v>
      </c>
      <c r="J85" s="21"/>
      <c r="K85" s="7"/>
      <c r="L85" s="21"/>
      <c r="M85" s="21"/>
      <c r="N85" s="21"/>
      <c r="O85" s="21"/>
      <c r="P85" s="21"/>
      <c r="Q85" s="21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x14ac:dyDescent="0.2">
      <c r="A86" s="26" t="s">
        <v>65</v>
      </c>
      <c r="B86" s="50" t="s">
        <v>66</v>
      </c>
      <c r="C86" s="28">
        <f>SUMIFS($E$43:$E$83,$B$43:$B$83,"FDA-1",$D$43:$D$83,"&lt;&gt;VAGO")</f>
        <v>6</v>
      </c>
      <c r="D86" s="28">
        <f>SUMIFS($E$43:$E$83,$B$43:$B$83,"FDA-1",$D$43:$D$83,"VAGO")</f>
        <v>0</v>
      </c>
      <c r="E86" s="28">
        <f t="shared" si="4"/>
        <v>6</v>
      </c>
      <c r="F86" s="29"/>
      <c r="G86" s="20">
        <f>SUMIF($B$43:$B$83,"FDA-1",$G$43:$G$83)</f>
        <v>0</v>
      </c>
      <c r="H86" s="20">
        <f>SUMIF($B$43:$B$83,"FDA-1",$H$43:$H$83)</f>
        <v>34221.360000000001</v>
      </c>
      <c r="I86" s="20">
        <f>SUMIF($B$43:$B$83,"FDA-1",$I$43:$I$83)</f>
        <v>34221.360000000001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26" t="s">
        <v>67</v>
      </c>
      <c r="B87" s="50" t="s">
        <v>68</v>
      </c>
      <c r="C87" s="28">
        <f>SUMIFS($E$43:$E$83,$B$43:$B$83,"FDA-2",$D$43:$D$83,"&lt;&gt;VAGO")</f>
        <v>6</v>
      </c>
      <c r="D87" s="28">
        <f>SUMIFS($E$43:$E$83,$B$43:$B$83,"FDA-2",$D$43:$D$83,"VAGO")</f>
        <v>0</v>
      </c>
      <c r="E87" s="28">
        <f t="shared" si="4"/>
        <v>6</v>
      </c>
      <c r="F87" s="32"/>
      <c r="G87" s="20">
        <f>SUMIF($B$43:$B$83,"FDA-2",$G$43:$G$83)</f>
        <v>33409.46</v>
      </c>
      <c r="H87" s="20">
        <f>SUMIF($B$43:$B$83,"FDA-2",$H$43:$H$83)</f>
        <v>31446.66</v>
      </c>
      <c r="I87" s="20">
        <f>SUMIF($B$43:$B$83,"FDA-2",$I$43:$I$83)</f>
        <v>64856.12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26" t="s">
        <v>69</v>
      </c>
      <c r="B88" s="50" t="s">
        <v>70</v>
      </c>
      <c r="C88" s="28">
        <f>SUMIFS($E$43:$E$83,$B$43:$B$83,"FDA-3",$D$43:$D$83,"&lt;&gt;VAGO")</f>
        <v>2</v>
      </c>
      <c r="D88" s="28">
        <f>SUMIFS($E$43:$E$83,$B$43:$B$83,"FDA-3",$D$43:$D$83,"VAGO")</f>
        <v>0</v>
      </c>
      <c r="E88" s="28">
        <f t="shared" si="4"/>
        <v>2</v>
      </c>
      <c r="F88" s="34"/>
      <c r="G88" s="20">
        <f>SUMIF($B$43:$B$83,"FDA-3",$G$43:$G$83)</f>
        <v>0</v>
      </c>
      <c r="H88" s="20">
        <f>SUMIF($B$43:$B$83,"FDA-3",$H$43:$H$83)</f>
        <v>8632.42</v>
      </c>
      <c r="I88" s="20">
        <f>SUMIF($B$43:$B$83,"FDA-3",$I$43:$I$83)</f>
        <v>8632.42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26" t="s">
        <v>71</v>
      </c>
      <c r="B89" s="50" t="s">
        <v>72</v>
      </c>
      <c r="C89" s="28">
        <f>SUMIFS($E$43:$E$83,$B$43:$B$83,"FDA-4",$D$43:$D$83,"&lt;&gt;VAGO")</f>
        <v>26</v>
      </c>
      <c r="D89" s="28">
        <f>SUMIFS($E$43:$E$83,$B$43:$B$83,"FDA-4",$D$43:$D$83,"VAGO")</f>
        <v>1</v>
      </c>
      <c r="E89" s="28">
        <f t="shared" si="4"/>
        <v>27</v>
      </c>
      <c r="F89" s="32"/>
      <c r="G89" s="20">
        <f>SUMIF($B$43:$B$83,"FDA-4",$G$43:$G$83)</f>
        <v>3849.66</v>
      </c>
      <c r="H89" s="20">
        <f>SUMIF($B$43:$B$83,"FDA-4",$H$43:$H$83)</f>
        <v>80158.260000000009</v>
      </c>
      <c r="I89" s="20">
        <f>SUMIF($B$43:$B$83,"FDA-4",$I$43:$I$83)</f>
        <v>84007.920000000013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30" x14ac:dyDescent="0.2">
      <c r="A90" s="23" t="s">
        <v>73</v>
      </c>
      <c r="B90" s="48"/>
      <c r="C90" s="35">
        <f t="shared" ref="C90:E90" si="5">SUM(C86:C89)</f>
        <v>40</v>
      </c>
      <c r="D90" s="35">
        <f t="shared" si="5"/>
        <v>1</v>
      </c>
      <c r="E90" s="35">
        <f t="shared" si="5"/>
        <v>41</v>
      </c>
      <c r="F90" s="48"/>
      <c r="G90" s="51">
        <f t="shared" ref="G90:I90" si="6">SUM(G85:G89)</f>
        <v>37259.119999999995</v>
      </c>
      <c r="H90" s="51">
        <f t="shared" si="6"/>
        <v>154458.70000000001</v>
      </c>
      <c r="I90" s="51">
        <f t="shared" si="6"/>
        <v>191717.82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x14ac:dyDescent="0.2">
      <c r="A91" s="38"/>
      <c r="B91" s="38"/>
      <c r="C91" s="38"/>
      <c r="D91" s="38"/>
      <c r="E91" s="38"/>
      <c r="F91" s="38"/>
      <c r="G91" s="38"/>
      <c r="H91" s="38"/>
      <c r="I91" s="7"/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x14ac:dyDescent="0.2">
      <c r="A92" s="99" t="s">
        <v>74</v>
      </c>
      <c r="B92" s="93"/>
      <c r="C92" s="93"/>
      <c r="D92" s="93"/>
      <c r="E92" s="93"/>
      <c r="F92" s="93"/>
      <c r="G92" s="93"/>
      <c r="H92" s="93"/>
      <c r="I92" s="94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30" x14ac:dyDescent="0.2">
      <c r="A93" s="52" t="s">
        <v>75</v>
      </c>
      <c r="B93" s="10" t="s">
        <v>76</v>
      </c>
      <c r="C93" s="10" t="s">
        <v>77</v>
      </c>
      <c r="D93" s="10" t="s">
        <v>78</v>
      </c>
      <c r="E93" s="10" t="s">
        <v>79</v>
      </c>
      <c r="F93" s="10" t="s">
        <v>80</v>
      </c>
      <c r="G93" s="10" t="s">
        <v>81</v>
      </c>
      <c r="H93" s="10" t="s">
        <v>82</v>
      </c>
      <c r="I93" s="10" t="s">
        <v>83</v>
      </c>
      <c r="J93" s="7"/>
      <c r="K93" s="7"/>
      <c r="L93" s="7"/>
      <c r="M93" s="7"/>
      <c r="N93" s="7"/>
      <c r="O93" s="7"/>
      <c r="P93" s="7"/>
      <c r="Q93" s="7"/>
      <c r="R93" s="40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x14ac:dyDescent="0.2">
      <c r="A94" s="53" t="s">
        <v>340</v>
      </c>
      <c r="B94" s="54" t="s">
        <v>93</v>
      </c>
      <c r="C94" s="55" t="s">
        <v>178</v>
      </c>
      <c r="D94" s="15" t="s">
        <v>181</v>
      </c>
      <c r="E94" s="46">
        <v>1</v>
      </c>
      <c r="F94" s="56" t="s">
        <v>374</v>
      </c>
      <c r="G94" s="44">
        <v>0</v>
      </c>
      <c r="H94" s="44">
        <v>1392.8</v>
      </c>
      <c r="I94" s="45">
        <f t="shared" ref="I94:I197" si="7">SUM(G94:H94)</f>
        <v>1392.8</v>
      </c>
      <c r="J94" s="21"/>
      <c r="K94" s="21"/>
      <c r="L94" s="21"/>
      <c r="M94" s="21"/>
      <c r="N94" s="21"/>
      <c r="O94" s="21"/>
      <c r="P94" s="21"/>
      <c r="Q94" s="21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x14ac:dyDescent="0.2">
      <c r="A95" s="14" t="s">
        <v>341</v>
      </c>
      <c r="B95" s="54" t="s">
        <v>342</v>
      </c>
      <c r="C95" s="16" t="s">
        <v>178</v>
      </c>
      <c r="D95" s="15" t="s">
        <v>199</v>
      </c>
      <c r="E95" s="27">
        <v>1</v>
      </c>
      <c r="F95" s="14" t="s">
        <v>375</v>
      </c>
      <c r="G95" s="44">
        <v>831.13</v>
      </c>
      <c r="H95" s="44">
        <v>849.76</v>
      </c>
      <c r="I95" s="45">
        <f t="shared" si="7"/>
        <v>1680.8899999999999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14" t="s">
        <v>343</v>
      </c>
      <c r="B96" s="54" t="s">
        <v>101</v>
      </c>
      <c r="C96" s="16" t="s">
        <v>178</v>
      </c>
      <c r="D96" s="15" t="s">
        <v>199</v>
      </c>
      <c r="E96" s="27">
        <v>1</v>
      </c>
      <c r="F96" s="43" t="s">
        <v>376</v>
      </c>
      <c r="G96" s="44">
        <v>831.26</v>
      </c>
      <c r="H96" s="44">
        <v>465.35</v>
      </c>
      <c r="I96" s="45">
        <f t="shared" si="7"/>
        <v>1296.6100000000001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s="70" customFormat="1" x14ac:dyDescent="0.2">
      <c r="A97" s="47" t="s">
        <v>340</v>
      </c>
      <c r="B97" s="55" t="s">
        <v>93</v>
      </c>
      <c r="C97" s="57" t="s">
        <v>223</v>
      </c>
      <c r="D97" s="57" t="s">
        <v>199</v>
      </c>
      <c r="E97" s="46">
        <v>1</v>
      </c>
      <c r="F97" s="43" t="s">
        <v>377</v>
      </c>
      <c r="G97" s="44">
        <v>844.27</v>
      </c>
      <c r="H97" s="44">
        <v>1392.8</v>
      </c>
      <c r="I97" s="45">
        <f t="shared" si="7"/>
        <v>2237.0699999999997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s="70" customFormat="1" x14ac:dyDescent="0.2">
      <c r="A98" s="47" t="s">
        <v>344</v>
      </c>
      <c r="B98" s="55" t="s">
        <v>345</v>
      </c>
      <c r="C98" s="57" t="s">
        <v>223</v>
      </c>
      <c r="D98" s="57" t="s">
        <v>199</v>
      </c>
      <c r="E98" s="46">
        <v>1</v>
      </c>
      <c r="F98" s="43" t="s">
        <v>378</v>
      </c>
      <c r="G98" s="44">
        <v>831.26</v>
      </c>
      <c r="H98" s="44">
        <v>505.81</v>
      </c>
      <c r="I98" s="45">
        <f t="shared" si="7"/>
        <v>1337.07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s="70" customFormat="1" x14ac:dyDescent="0.2">
      <c r="A99" s="47" t="s">
        <v>340</v>
      </c>
      <c r="B99" s="55" t="s">
        <v>93</v>
      </c>
      <c r="C99" s="57" t="s">
        <v>223</v>
      </c>
      <c r="D99" s="57" t="s">
        <v>181</v>
      </c>
      <c r="E99" s="46">
        <v>1</v>
      </c>
      <c r="F99" s="43" t="s">
        <v>379</v>
      </c>
      <c r="G99" s="44">
        <v>0</v>
      </c>
      <c r="H99" s="44">
        <v>1392.8</v>
      </c>
      <c r="I99" s="45">
        <f t="shared" si="7"/>
        <v>1392.8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s="70" customFormat="1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380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s="70" customFormat="1" x14ac:dyDescent="0.2">
      <c r="A101" s="47" t="s">
        <v>346</v>
      </c>
      <c r="B101" s="55" t="s">
        <v>97</v>
      </c>
      <c r="C101" s="57" t="s">
        <v>347</v>
      </c>
      <c r="D101" s="57" t="s">
        <v>181</v>
      </c>
      <c r="E101" s="46">
        <v>1</v>
      </c>
      <c r="F101" s="43" t="s">
        <v>381</v>
      </c>
      <c r="G101" s="44">
        <v>0</v>
      </c>
      <c r="H101" s="44">
        <v>566.5</v>
      </c>
      <c r="I101" s="45">
        <f t="shared" si="7"/>
        <v>566.5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s="70" customFormat="1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382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s="70" customFormat="1" x14ac:dyDescent="0.2">
      <c r="A103" s="47" t="s">
        <v>346</v>
      </c>
      <c r="B103" s="55" t="s">
        <v>97</v>
      </c>
      <c r="C103" s="57" t="s">
        <v>348</v>
      </c>
      <c r="D103" s="57" t="s">
        <v>181</v>
      </c>
      <c r="E103" s="46">
        <v>1</v>
      </c>
      <c r="F103" s="43" t="s">
        <v>383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s="70" customFormat="1" x14ac:dyDescent="0.2">
      <c r="A104" s="47" t="s">
        <v>340</v>
      </c>
      <c r="B104" s="55" t="s">
        <v>93</v>
      </c>
      <c r="C104" s="57" t="s">
        <v>347</v>
      </c>
      <c r="D104" s="57" t="s">
        <v>181</v>
      </c>
      <c r="E104" s="46">
        <v>1</v>
      </c>
      <c r="F104" s="43" t="s">
        <v>384</v>
      </c>
      <c r="G104" s="44">
        <v>0</v>
      </c>
      <c r="H104" s="44">
        <v>1392.8</v>
      </c>
      <c r="I104" s="45">
        <f t="shared" si="7"/>
        <v>1392.8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s="70" customFormat="1" x14ac:dyDescent="0.2">
      <c r="A105" s="47" t="s">
        <v>340</v>
      </c>
      <c r="B105" s="55" t="s">
        <v>93</v>
      </c>
      <c r="C105" s="57" t="s">
        <v>349</v>
      </c>
      <c r="D105" s="57" t="s">
        <v>181</v>
      </c>
      <c r="E105" s="46">
        <v>1</v>
      </c>
      <c r="F105" s="43" t="s">
        <v>385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s="70" customFormat="1" x14ac:dyDescent="0.2">
      <c r="A106" s="47" t="s">
        <v>340</v>
      </c>
      <c r="B106" s="55" t="s">
        <v>93</v>
      </c>
      <c r="C106" s="57" t="s">
        <v>231</v>
      </c>
      <c r="D106" s="57" t="s">
        <v>181</v>
      </c>
      <c r="E106" s="46">
        <v>1</v>
      </c>
      <c r="F106" s="43" t="s">
        <v>386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s="70" customFormat="1" x14ac:dyDescent="0.2">
      <c r="A107" s="47" t="s">
        <v>341</v>
      </c>
      <c r="B107" s="55" t="s">
        <v>342</v>
      </c>
      <c r="C107" s="57" t="s">
        <v>350</v>
      </c>
      <c r="D107" s="57" t="s">
        <v>181</v>
      </c>
      <c r="E107" s="46">
        <v>1</v>
      </c>
      <c r="F107" s="43" t="s">
        <v>387</v>
      </c>
      <c r="G107" s="44">
        <v>0</v>
      </c>
      <c r="H107" s="44">
        <v>849.76</v>
      </c>
      <c r="I107" s="45">
        <f t="shared" si="7"/>
        <v>849.76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s="70" customFormat="1" x14ac:dyDescent="0.2">
      <c r="A108" s="47" t="s">
        <v>340</v>
      </c>
      <c r="B108" s="55" t="s">
        <v>93</v>
      </c>
      <c r="C108" s="57" t="s">
        <v>351</v>
      </c>
      <c r="D108" s="57" t="s">
        <v>181</v>
      </c>
      <c r="E108" s="46">
        <v>1</v>
      </c>
      <c r="F108" s="43" t="s">
        <v>388</v>
      </c>
      <c r="G108" s="44">
        <v>0</v>
      </c>
      <c r="H108" s="44">
        <v>1392.8</v>
      </c>
      <c r="I108" s="45">
        <f t="shared" si="7"/>
        <v>1392.8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s="70" customFormat="1" x14ac:dyDescent="0.2">
      <c r="A109" s="47" t="s">
        <v>346</v>
      </c>
      <c r="B109" s="55" t="s">
        <v>97</v>
      </c>
      <c r="C109" s="57" t="s">
        <v>352</v>
      </c>
      <c r="D109" s="57" t="s">
        <v>199</v>
      </c>
      <c r="E109" s="46">
        <v>1</v>
      </c>
      <c r="F109" s="43" t="s">
        <v>389</v>
      </c>
      <c r="G109" s="44">
        <v>852.4</v>
      </c>
      <c r="H109" s="44">
        <v>566.5</v>
      </c>
      <c r="I109" s="45">
        <f t="shared" si="7"/>
        <v>1418.9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s="70" customFormat="1" x14ac:dyDescent="0.2">
      <c r="A110" s="47" t="s">
        <v>340</v>
      </c>
      <c r="B110" s="55" t="s">
        <v>93</v>
      </c>
      <c r="C110" s="57" t="s">
        <v>353</v>
      </c>
      <c r="D110" s="57" t="s">
        <v>199</v>
      </c>
      <c r="E110" s="46">
        <v>1</v>
      </c>
      <c r="F110" s="43" t="s">
        <v>390</v>
      </c>
      <c r="G110" s="44">
        <v>830.46</v>
      </c>
      <c r="H110" s="44">
        <v>1392.8</v>
      </c>
      <c r="I110" s="45">
        <f t="shared" si="7"/>
        <v>2223.2600000000002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s="70" customFormat="1" x14ac:dyDescent="0.2">
      <c r="A111" s="47" t="s">
        <v>346</v>
      </c>
      <c r="B111" s="55" t="s">
        <v>97</v>
      </c>
      <c r="C111" s="57" t="s">
        <v>353</v>
      </c>
      <c r="D111" s="57" t="s">
        <v>199</v>
      </c>
      <c r="E111" s="46">
        <v>1</v>
      </c>
      <c r="F111" s="43" t="s">
        <v>391</v>
      </c>
      <c r="G111" s="44">
        <v>844.27</v>
      </c>
      <c r="H111" s="44">
        <v>566.5</v>
      </c>
      <c r="I111" s="45">
        <f t="shared" si="7"/>
        <v>1410.77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s="70" customFormat="1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392</v>
      </c>
      <c r="G112" s="44">
        <v>844.13</v>
      </c>
      <c r="H112" s="44">
        <v>566.5</v>
      </c>
      <c r="I112" s="45">
        <f t="shared" si="7"/>
        <v>1410.63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s="70" customFormat="1" x14ac:dyDescent="0.2">
      <c r="A113" s="47" t="s">
        <v>346</v>
      </c>
      <c r="B113" s="55" t="s">
        <v>97</v>
      </c>
      <c r="C113" s="57" t="s">
        <v>354</v>
      </c>
      <c r="D113" s="57" t="s">
        <v>181</v>
      </c>
      <c r="E113" s="46">
        <v>1</v>
      </c>
      <c r="F113" s="43" t="s">
        <v>393</v>
      </c>
      <c r="G113" s="44">
        <v>0</v>
      </c>
      <c r="H113" s="44">
        <v>566.5</v>
      </c>
      <c r="I113" s="45">
        <f t="shared" si="7"/>
        <v>566.5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s="70" customFormat="1" x14ac:dyDescent="0.2">
      <c r="A114" s="47" t="s">
        <v>346</v>
      </c>
      <c r="B114" s="55" t="s">
        <v>97</v>
      </c>
      <c r="C114" s="57" t="s">
        <v>355</v>
      </c>
      <c r="D114" s="57" t="s">
        <v>183</v>
      </c>
      <c r="E114" s="46">
        <v>1</v>
      </c>
      <c r="F114" s="43" t="s">
        <v>183</v>
      </c>
      <c r="G114" s="44">
        <v>0</v>
      </c>
      <c r="H114" s="44">
        <v>566.5</v>
      </c>
      <c r="I114" s="45">
        <f t="shared" si="7"/>
        <v>566.5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s="70" customFormat="1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394</v>
      </c>
      <c r="G115" s="44">
        <v>837.96</v>
      </c>
      <c r="H115" s="44">
        <v>566.5</v>
      </c>
      <c r="I115" s="45">
        <f t="shared" si="7"/>
        <v>1404.46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s="70" customFormat="1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395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s="70" customFormat="1" x14ac:dyDescent="0.2">
      <c r="A117" s="47" t="s">
        <v>340</v>
      </c>
      <c r="B117" s="55" t="s">
        <v>93</v>
      </c>
      <c r="C117" s="57" t="s">
        <v>356</v>
      </c>
      <c r="D117" s="57" t="s">
        <v>181</v>
      </c>
      <c r="E117" s="46">
        <v>1</v>
      </c>
      <c r="F117" s="43" t="s">
        <v>396</v>
      </c>
      <c r="G117" s="44">
        <v>0</v>
      </c>
      <c r="H117" s="44">
        <v>1392.8</v>
      </c>
      <c r="I117" s="45">
        <f t="shared" si="7"/>
        <v>1392.8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s="70" customFormat="1" x14ac:dyDescent="0.2">
      <c r="A118" s="47" t="s">
        <v>346</v>
      </c>
      <c r="B118" s="55" t="s">
        <v>97</v>
      </c>
      <c r="C118" s="57" t="s">
        <v>356</v>
      </c>
      <c r="D118" s="57" t="s">
        <v>199</v>
      </c>
      <c r="E118" s="46">
        <v>1</v>
      </c>
      <c r="F118" s="43" t="s">
        <v>397</v>
      </c>
      <c r="G118" s="44">
        <v>844.87</v>
      </c>
      <c r="H118" s="44">
        <v>566.5</v>
      </c>
      <c r="I118" s="45">
        <f t="shared" si="7"/>
        <v>1411.37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s="70" customFormat="1" x14ac:dyDescent="0.2">
      <c r="A119" s="47" t="s">
        <v>344</v>
      </c>
      <c r="B119" s="55" t="s">
        <v>345</v>
      </c>
      <c r="C119" s="57" t="s">
        <v>356</v>
      </c>
      <c r="D119" s="57" t="s">
        <v>199</v>
      </c>
      <c r="E119" s="46">
        <v>1</v>
      </c>
      <c r="F119" s="43" t="s">
        <v>398</v>
      </c>
      <c r="G119" s="44">
        <v>852.4</v>
      </c>
      <c r="H119" s="44">
        <v>505.81</v>
      </c>
      <c r="I119" s="45">
        <f t="shared" si="7"/>
        <v>1358.21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s="70" customFormat="1" x14ac:dyDescent="0.2">
      <c r="A120" s="47" t="s">
        <v>340</v>
      </c>
      <c r="B120" s="55" t="s">
        <v>93</v>
      </c>
      <c r="C120" s="57" t="s">
        <v>357</v>
      </c>
      <c r="D120" s="57" t="s">
        <v>181</v>
      </c>
      <c r="E120" s="46">
        <v>1</v>
      </c>
      <c r="F120" s="43" t="s">
        <v>399</v>
      </c>
      <c r="G120" s="44">
        <v>0</v>
      </c>
      <c r="H120" s="44">
        <v>1392.8</v>
      </c>
      <c r="I120" s="45">
        <f t="shared" si="7"/>
        <v>1392.8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s="70" customFormat="1" x14ac:dyDescent="0.2">
      <c r="A121" s="47" t="s">
        <v>346</v>
      </c>
      <c r="B121" s="55" t="s">
        <v>97</v>
      </c>
      <c r="C121" s="57" t="s">
        <v>357</v>
      </c>
      <c r="D121" s="57" t="s">
        <v>199</v>
      </c>
      <c r="E121" s="46">
        <v>1</v>
      </c>
      <c r="F121" s="43" t="s">
        <v>400</v>
      </c>
      <c r="G121" s="44">
        <v>16704.73</v>
      </c>
      <c r="H121" s="44">
        <v>566.5</v>
      </c>
      <c r="I121" s="45">
        <f t="shared" si="7"/>
        <v>17271.23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s="70" customFormat="1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401</v>
      </c>
      <c r="G122" s="44">
        <v>837.96</v>
      </c>
      <c r="H122" s="44">
        <v>566.5</v>
      </c>
      <c r="I122" s="45">
        <f t="shared" si="7"/>
        <v>1404.46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s="70" customFormat="1" x14ac:dyDescent="0.2">
      <c r="A123" s="47" t="s">
        <v>346</v>
      </c>
      <c r="B123" s="55" t="s">
        <v>97</v>
      </c>
      <c r="C123" s="57" t="s">
        <v>358</v>
      </c>
      <c r="D123" s="57" t="s">
        <v>199</v>
      </c>
      <c r="E123" s="46">
        <v>1</v>
      </c>
      <c r="F123" s="43" t="s">
        <v>402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s="70" customFormat="1" x14ac:dyDescent="0.2">
      <c r="A124" s="47" t="s">
        <v>346</v>
      </c>
      <c r="B124" s="55" t="s">
        <v>97</v>
      </c>
      <c r="C124" s="57" t="s">
        <v>358</v>
      </c>
      <c r="D124" s="57" t="s">
        <v>181</v>
      </c>
      <c r="E124" s="46">
        <v>1</v>
      </c>
      <c r="F124" s="43" t="s">
        <v>403</v>
      </c>
      <c r="G124" s="44">
        <v>0</v>
      </c>
      <c r="H124" s="44">
        <v>566.5</v>
      </c>
      <c r="I124" s="45">
        <f t="shared" si="7"/>
        <v>566.5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s="70" customFormat="1" x14ac:dyDescent="0.2">
      <c r="A125" s="47" t="s">
        <v>340</v>
      </c>
      <c r="B125" s="55" t="s">
        <v>93</v>
      </c>
      <c r="C125" s="57" t="s">
        <v>359</v>
      </c>
      <c r="D125" s="57" t="s">
        <v>199</v>
      </c>
      <c r="E125" s="46">
        <v>1</v>
      </c>
      <c r="F125" s="43" t="s">
        <v>404</v>
      </c>
      <c r="G125" s="44">
        <v>831.26</v>
      </c>
      <c r="H125" s="44">
        <v>1392.8</v>
      </c>
      <c r="I125" s="45">
        <f t="shared" si="7"/>
        <v>2224.06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s="70" customFormat="1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405</v>
      </c>
      <c r="G126" s="44">
        <v>1006.04</v>
      </c>
      <c r="H126" s="44">
        <v>1392.8</v>
      </c>
      <c r="I126" s="45">
        <f t="shared" si="7"/>
        <v>2398.84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s="70" customFormat="1" x14ac:dyDescent="0.2">
      <c r="A127" s="47" t="s">
        <v>340</v>
      </c>
      <c r="B127" s="55" t="s">
        <v>93</v>
      </c>
      <c r="C127" s="57" t="s">
        <v>360</v>
      </c>
      <c r="D127" s="57" t="s">
        <v>199</v>
      </c>
      <c r="E127" s="46">
        <v>1</v>
      </c>
      <c r="F127" s="43" t="s">
        <v>406</v>
      </c>
      <c r="G127" s="44">
        <v>837.96</v>
      </c>
      <c r="H127" s="44">
        <v>1392.8</v>
      </c>
      <c r="I127" s="45">
        <f t="shared" si="7"/>
        <v>2230.7600000000002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s="70" customFormat="1" x14ac:dyDescent="0.2">
      <c r="A128" s="47" t="s">
        <v>346</v>
      </c>
      <c r="B128" s="55" t="s">
        <v>97</v>
      </c>
      <c r="C128" s="57" t="s">
        <v>361</v>
      </c>
      <c r="D128" s="57" t="s">
        <v>181</v>
      </c>
      <c r="E128" s="46">
        <v>1</v>
      </c>
      <c r="F128" s="43" t="s">
        <v>407</v>
      </c>
      <c r="G128" s="44">
        <v>0</v>
      </c>
      <c r="H128" s="44">
        <v>566.5</v>
      </c>
      <c r="I128" s="45">
        <f t="shared" si="7"/>
        <v>566.5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s="70" customFormat="1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408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s="70" customFormat="1" x14ac:dyDescent="0.2">
      <c r="A130" s="47" t="s">
        <v>340</v>
      </c>
      <c r="B130" s="55" t="s">
        <v>93</v>
      </c>
      <c r="C130" s="57" t="s">
        <v>362</v>
      </c>
      <c r="D130" s="57" t="s">
        <v>181</v>
      </c>
      <c r="E130" s="46">
        <v>1</v>
      </c>
      <c r="F130" s="43" t="s">
        <v>409</v>
      </c>
      <c r="G130" s="44">
        <v>0</v>
      </c>
      <c r="H130" s="44">
        <v>1392.8</v>
      </c>
      <c r="I130" s="45">
        <f t="shared" si="7"/>
        <v>1392.8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s="70" customFormat="1" x14ac:dyDescent="0.2">
      <c r="A131" s="47" t="s">
        <v>340</v>
      </c>
      <c r="B131" s="55" t="s">
        <v>93</v>
      </c>
      <c r="C131" s="57" t="s">
        <v>248</v>
      </c>
      <c r="D131" s="57" t="s">
        <v>181</v>
      </c>
      <c r="E131" s="46">
        <v>1</v>
      </c>
      <c r="F131" s="43" t="s">
        <v>410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s="70" customFormat="1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411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s="70" customFormat="1" x14ac:dyDescent="0.2">
      <c r="A133" s="47" t="s">
        <v>346</v>
      </c>
      <c r="B133" s="55" t="s">
        <v>97</v>
      </c>
      <c r="C133" s="57" t="s">
        <v>248</v>
      </c>
      <c r="D133" s="57" t="s">
        <v>199</v>
      </c>
      <c r="E133" s="46">
        <v>1</v>
      </c>
      <c r="F133" s="43" t="s">
        <v>412</v>
      </c>
      <c r="G133" s="44">
        <v>1509.2</v>
      </c>
      <c r="H133" s="44">
        <v>1392.8</v>
      </c>
      <c r="I133" s="45">
        <f t="shared" si="7"/>
        <v>2902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s="70" customFormat="1" x14ac:dyDescent="0.2">
      <c r="A134" s="47" t="s">
        <v>340</v>
      </c>
      <c r="B134" s="55" t="s">
        <v>93</v>
      </c>
      <c r="C134" s="57" t="s">
        <v>248</v>
      </c>
      <c r="D134" s="57" t="s">
        <v>199</v>
      </c>
      <c r="E134" s="46">
        <v>1</v>
      </c>
      <c r="F134" s="43" t="s">
        <v>413</v>
      </c>
      <c r="G134" s="44">
        <v>837.83</v>
      </c>
      <c r="H134" s="44">
        <v>1392.8</v>
      </c>
      <c r="I134" s="45">
        <f t="shared" si="7"/>
        <v>2230.63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s="70" customFormat="1" x14ac:dyDescent="0.2">
      <c r="A135" s="47" t="s">
        <v>340</v>
      </c>
      <c r="B135" s="55" t="s">
        <v>93</v>
      </c>
      <c r="C135" s="57" t="s">
        <v>194</v>
      </c>
      <c r="D135" s="57" t="s">
        <v>199</v>
      </c>
      <c r="E135" s="46">
        <v>1</v>
      </c>
      <c r="F135" s="43" t="s">
        <v>414</v>
      </c>
      <c r="G135" s="44">
        <v>809.06</v>
      </c>
      <c r="H135" s="44">
        <v>1392.8</v>
      </c>
      <c r="I135" s="45">
        <f t="shared" si="7"/>
        <v>2201.8599999999997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s="70" customFormat="1" x14ac:dyDescent="0.2">
      <c r="A136" s="47" t="s">
        <v>340</v>
      </c>
      <c r="B136" s="55" t="s">
        <v>93</v>
      </c>
      <c r="C136" s="57" t="s">
        <v>194</v>
      </c>
      <c r="D136" s="57" t="s">
        <v>181</v>
      </c>
      <c r="E136" s="46">
        <v>1</v>
      </c>
      <c r="F136" s="43" t="s">
        <v>415</v>
      </c>
      <c r="G136" s="44">
        <v>0</v>
      </c>
      <c r="H136" s="44">
        <v>1392.8</v>
      </c>
      <c r="I136" s="45">
        <f t="shared" si="7"/>
        <v>1392.8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s="70" customFormat="1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43" t="s">
        <v>416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s="70" customFormat="1" x14ac:dyDescent="0.2">
      <c r="A138" s="47" t="s">
        <v>340</v>
      </c>
      <c r="B138" s="55" t="s">
        <v>93</v>
      </c>
      <c r="C138" s="57" t="s">
        <v>194</v>
      </c>
      <c r="D138" s="57" t="s">
        <v>199</v>
      </c>
      <c r="E138" s="46">
        <v>1</v>
      </c>
      <c r="F138" s="43" t="s">
        <v>417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s="70" customFormat="1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418</v>
      </c>
      <c r="G139" s="44">
        <v>809.06</v>
      </c>
      <c r="H139" s="44">
        <v>1392.8</v>
      </c>
      <c r="I139" s="45">
        <f t="shared" si="7"/>
        <v>2201.8599999999997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s="70" customFormat="1" x14ac:dyDescent="0.2">
      <c r="A140" s="47" t="s">
        <v>341</v>
      </c>
      <c r="B140" s="55" t="s">
        <v>342</v>
      </c>
      <c r="C140" s="57" t="s">
        <v>194</v>
      </c>
      <c r="D140" s="57" t="s">
        <v>199</v>
      </c>
      <c r="E140" s="46">
        <v>1</v>
      </c>
      <c r="F140" s="43" t="s">
        <v>419</v>
      </c>
      <c r="G140" s="44">
        <v>852.4</v>
      </c>
      <c r="H140" s="44">
        <v>849.76</v>
      </c>
      <c r="I140" s="45">
        <f t="shared" si="7"/>
        <v>1702.1599999999999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s="70" customFormat="1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420</v>
      </c>
      <c r="G141" s="44">
        <v>953.37</v>
      </c>
      <c r="H141" s="44">
        <v>849.76</v>
      </c>
      <c r="I141" s="45">
        <f t="shared" si="7"/>
        <v>1803.13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s="70" customFormat="1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421</v>
      </c>
      <c r="G142" s="44">
        <v>809.06</v>
      </c>
      <c r="H142" s="44">
        <v>849.76</v>
      </c>
      <c r="I142" s="45">
        <f t="shared" si="7"/>
        <v>1658.82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s="70" customFormat="1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422</v>
      </c>
      <c r="G143" s="44">
        <v>837.26</v>
      </c>
      <c r="H143" s="44">
        <v>849.76</v>
      </c>
      <c r="I143" s="45">
        <f t="shared" si="7"/>
        <v>1687.02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s="70" customFormat="1" x14ac:dyDescent="0.2">
      <c r="A144" s="47" t="s">
        <v>346</v>
      </c>
      <c r="B144" s="55" t="s">
        <v>97</v>
      </c>
      <c r="C144" s="57" t="s">
        <v>194</v>
      </c>
      <c r="D144" s="57" t="s">
        <v>199</v>
      </c>
      <c r="E144" s="46">
        <v>1</v>
      </c>
      <c r="F144" s="43" t="s">
        <v>423</v>
      </c>
      <c r="G144" s="44">
        <v>824.75</v>
      </c>
      <c r="H144" s="44">
        <v>566.5</v>
      </c>
      <c r="I144" s="45">
        <f t="shared" si="7"/>
        <v>1391.25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s="70" customFormat="1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424</v>
      </c>
      <c r="G145" s="44">
        <v>831.26</v>
      </c>
      <c r="H145" s="44">
        <v>566.5</v>
      </c>
      <c r="I145" s="45">
        <f t="shared" si="7"/>
        <v>1397.76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s="70" customFormat="1" x14ac:dyDescent="0.2">
      <c r="A146" s="47" t="s">
        <v>363</v>
      </c>
      <c r="B146" s="55" t="s">
        <v>342</v>
      </c>
      <c r="C146" s="57" t="s">
        <v>194</v>
      </c>
      <c r="D146" s="57" t="s">
        <v>199</v>
      </c>
      <c r="E146" s="46">
        <v>1</v>
      </c>
      <c r="F146" s="43" t="s">
        <v>425</v>
      </c>
      <c r="G146" s="44">
        <v>1509.2</v>
      </c>
      <c r="H146" s="44">
        <v>849.76</v>
      </c>
      <c r="I146" s="45">
        <f t="shared" si="7"/>
        <v>2358.96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s="70" customFormat="1" x14ac:dyDescent="0.2">
      <c r="A147" s="47" t="s">
        <v>340</v>
      </c>
      <c r="B147" s="55" t="s">
        <v>93</v>
      </c>
      <c r="C147" s="57" t="s">
        <v>254</v>
      </c>
      <c r="D147" s="57" t="s">
        <v>181</v>
      </c>
      <c r="E147" s="46">
        <v>1</v>
      </c>
      <c r="F147" s="43" t="s">
        <v>426</v>
      </c>
      <c r="G147" s="44">
        <v>0</v>
      </c>
      <c r="H147" s="44">
        <v>1392.8</v>
      </c>
      <c r="I147" s="45">
        <f t="shared" si="7"/>
        <v>1392.8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s="70" customFormat="1" x14ac:dyDescent="0.2">
      <c r="A148" s="47" t="s">
        <v>340</v>
      </c>
      <c r="B148" s="55" t="s">
        <v>93</v>
      </c>
      <c r="C148" s="57" t="s">
        <v>254</v>
      </c>
      <c r="D148" s="57" t="s">
        <v>181</v>
      </c>
      <c r="E148" s="46">
        <v>1</v>
      </c>
      <c r="F148" s="43" t="s">
        <v>427</v>
      </c>
      <c r="G148" s="44">
        <v>0</v>
      </c>
      <c r="H148" s="44">
        <v>1392.8</v>
      </c>
      <c r="I148" s="45">
        <f t="shared" si="7"/>
        <v>1392.8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s="70" customFormat="1" x14ac:dyDescent="0.2">
      <c r="A149" s="47" t="s">
        <v>340</v>
      </c>
      <c r="B149" s="55" t="s">
        <v>93</v>
      </c>
      <c r="C149" s="57" t="s">
        <v>364</v>
      </c>
      <c r="D149" s="57" t="s">
        <v>181</v>
      </c>
      <c r="E149" s="46">
        <v>1</v>
      </c>
      <c r="F149" s="43" t="s">
        <v>428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s="70" customFormat="1" x14ac:dyDescent="0.2">
      <c r="A150" s="47" t="s">
        <v>340</v>
      </c>
      <c r="B150" s="55" t="s">
        <v>93</v>
      </c>
      <c r="C150" s="57" t="s">
        <v>364</v>
      </c>
      <c r="D150" s="57" t="s">
        <v>199</v>
      </c>
      <c r="E150" s="46">
        <v>1</v>
      </c>
      <c r="F150" s="43" t="s">
        <v>429</v>
      </c>
      <c r="G150" s="44">
        <v>809.06</v>
      </c>
      <c r="H150" s="44">
        <v>1392.8</v>
      </c>
      <c r="I150" s="45">
        <f t="shared" si="7"/>
        <v>2201.8599999999997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s="70" customFormat="1" x14ac:dyDescent="0.2">
      <c r="A151" s="47" t="s">
        <v>346</v>
      </c>
      <c r="B151" s="55" t="s">
        <v>97</v>
      </c>
      <c r="C151" s="57" t="s">
        <v>364</v>
      </c>
      <c r="D151" s="57" t="s">
        <v>199</v>
      </c>
      <c r="E151" s="46">
        <v>1</v>
      </c>
      <c r="F151" s="43" t="s">
        <v>430</v>
      </c>
      <c r="G151" s="44">
        <v>1509.2</v>
      </c>
      <c r="H151" s="44">
        <v>566.5</v>
      </c>
      <c r="I151" s="45">
        <f t="shared" si="7"/>
        <v>2075.6999999999998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s="70" customFormat="1" x14ac:dyDescent="0.2">
      <c r="A152" s="47" t="s">
        <v>341</v>
      </c>
      <c r="B152" s="55" t="s">
        <v>342</v>
      </c>
      <c r="C152" s="57" t="s">
        <v>364</v>
      </c>
      <c r="D152" s="57" t="s">
        <v>199</v>
      </c>
      <c r="E152" s="46">
        <v>1</v>
      </c>
      <c r="F152" s="43" t="s">
        <v>431</v>
      </c>
      <c r="G152" s="44">
        <v>1509.2</v>
      </c>
      <c r="H152" s="44">
        <v>849.76</v>
      </c>
      <c r="I152" s="45">
        <f t="shared" si="7"/>
        <v>2358.96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s="70" customFormat="1" x14ac:dyDescent="0.2">
      <c r="A153" s="47" t="s">
        <v>346</v>
      </c>
      <c r="B153" s="55" t="s">
        <v>97</v>
      </c>
      <c r="C153" s="57" t="s">
        <v>260</v>
      </c>
      <c r="D153" s="57" t="s">
        <v>181</v>
      </c>
      <c r="E153" s="46">
        <v>1</v>
      </c>
      <c r="F153" s="43" t="s">
        <v>432</v>
      </c>
      <c r="G153" s="44">
        <v>0</v>
      </c>
      <c r="H153" s="44">
        <v>566.5</v>
      </c>
      <c r="I153" s="45">
        <f t="shared" si="7"/>
        <v>566.5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s="70" customFormat="1" x14ac:dyDescent="0.2">
      <c r="A154" s="47" t="s">
        <v>340</v>
      </c>
      <c r="B154" s="55" t="s">
        <v>93</v>
      </c>
      <c r="C154" s="57" t="s">
        <v>260</v>
      </c>
      <c r="D154" s="57" t="s">
        <v>181</v>
      </c>
      <c r="E154" s="46">
        <v>1</v>
      </c>
      <c r="F154" s="43" t="s">
        <v>433</v>
      </c>
      <c r="G154" s="44">
        <v>0</v>
      </c>
      <c r="H154" s="44">
        <v>1392.8</v>
      </c>
      <c r="I154" s="45">
        <f t="shared" si="7"/>
        <v>1392.8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s="70" customFormat="1" x14ac:dyDescent="0.2">
      <c r="A155" s="47" t="s">
        <v>365</v>
      </c>
      <c r="B155" s="55" t="s">
        <v>93</v>
      </c>
      <c r="C155" s="57" t="s">
        <v>260</v>
      </c>
      <c r="D155" s="57" t="s">
        <v>181</v>
      </c>
      <c r="E155" s="46">
        <v>1</v>
      </c>
      <c r="F155" s="43" t="s">
        <v>434</v>
      </c>
      <c r="G155" s="44">
        <v>0</v>
      </c>
      <c r="H155" s="44">
        <v>1392.8</v>
      </c>
      <c r="I155" s="45">
        <f t="shared" si="7"/>
        <v>1392.8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s="70" customFormat="1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435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s="70" customFormat="1" x14ac:dyDescent="0.2">
      <c r="A157" s="47" t="s">
        <v>341</v>
      </c>
      <c r="B157" s="55" t="s">
        <v>342</v>
      </c>
      <c r="C157" s="57" t="s">
        <v>198</v>
      </c>
      <c r="D157" s="57" t="s">
        <v>199</v>
      </c>
      <c r="E157" s="46">
        <v>1</v>
      </c>
      <c r="F157" s="43" t="s">
        <v>436</v>
      </c>
      <c r="G157" s="44">
        <v>809.06</v>
      </c>
      <c r="H157" s="44">
        <v>849.76</v>
      </c>
      <c r="I157" s="45">
        <f t="shared" si="7"/>
        <v>1658.82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s="70" customFormat="1" x14ac:dyDescent="0.2">
      <c r="A158" s="47" t="s">
        <v>343</v>
      </c>
      <c r="B158" s="55" t="s">
        <v>101</v>
      </c>
      <c r="C158" s="57" t="s">
        <v>198</v>
      </c>
      <c r="D158" s="57" t="s">
        <v>199</v>
      </c>
      <c r="E158" s="46">
        <v>1</v>
      </c>
      <c r="F158" s="43" t="s">
        <v>437</v>
      </c>
      <c r="G158" s="44">
        <v>1509.2</v>
      </c>
      <c r="H158" s="44">
        <v>849.76</v>
      </c>
      <c r="I158" s="45">
        <f t="shared" si="7"/>
        <v>2358.96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s="70" customFormat="1" x14ac:dyDescent="0.2">
      <c r="A159" s="47" t="s">
        <v>340</v>
      </c>
      <c r="B159" s="55" t="s">
        <v>93</v>
      </c>
      <c r="C159" s="57" t="s">
        <v>366</v>
      </c>
      <c r="D159" s="57" t="s">
        <v>181</v>
      </c>
      <c r="E159" s="46">
        <v>1</v>
      </c>
      <c r="F159" s="43" t="s">
        <v>438</v>
      </c>
      <c r="G159" s="44">
        <v>0</v>
      </c>
      <c r="H159" s="44">
        <v>1392.8</v>
      </c>
      <c r="I159" s="45">
        <f t="shared" si="7"/>
        <v>1392.8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s="70" customFormat="1" x14ac:dyDescent="0.2">
      <c r="A160" s="47" t="s">
        <v>340</v>
      </c>
      <c r="B160" s="55" t="s">
        <v>93</v>
      </c>
      <c r="C160" s="57" t="s">
        <v>366</v>
      </c>
      <c r="D160" s="57" t="s">
        <v>199</v>
      </c>
      <c r="E160" s="46">
        <v>1</v>
      </c>
      <c r="F160" s="43" t="s">
        <v>439</v>
      </c>
      <c r="G160" s="44">
        <v>852.4</v>
      </c>
      <c r="H160" s="44">
        <v>1392.8</v>
      </c>
      <c r="I160" s="45">
        <f t="shared" si="7"/>
        <v>2245.1999999999998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s="70" customFormat="1" x14ac:dyDescent="0.2">
      <c r="A161" s="47" t="s">
        <v>341</v>
      </c>
      <c r="B161" s="55" t="s">
        <v>342</v>
      </c>
      <c r="C161" s="57" t="s">
        <v>366</v>
      </c>
      <c r="D161" s="57" t="s">
        <v>199</v>
      </c>
      <c r="E161" s="46">
        <v>1</v>
      </c>
      <c r="F161" s="43" t="s">
        <v>440</v>
      </c>
      <c r="G161" s="44">
        <v>831.26</v>
      </c>
      <c r="H161" s="44">
        <v>849.76</v>
      </c>
      <c r="I161" s="45">
        <f t="shared" si="7"/>
        <v>1681.02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s="70" customFormat="1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441</v>
      </c>
      <c r="G162" s="44">
        <v>824.11</v>
      </c>
      <c r="H162" s="44">
        <v>849.76</v>
      </c>
      <c r="I162" s="45">
        <f t="shared" si="7"/>
        <v>1673.87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s="70" customFormat="1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442</v>
      </c>
      <c r="G163" s="44">
        <v>1109.1600000000001</v>
      </c>
      <c r="H163" s="44">
        <v>849.76</v>
      </c>
      <c r="I163" s="45">
        <f t="shared" si="7"/>
        <v>1958.92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s="70" customFormat="1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443</v>
      </c>
      <c r="G164" s="44">
        <v>811.5</v>
      </c>
      <c r="H164" s="44">
        <v>849.76</v>
      </c>
      <c r="I164" s="45">
        <f t="shared" si="7"/>
        <v>1661.26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s="70" customFormat="1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444</v>
      </c>
      <c r="G165" s="44">
        <v>831.13</v>
      </c>
      <c r="H165" s="44">
        <v>849.76</v>
      </c>
      <c r="I165" s="45">
        <f t="shared" si="7"/>
        <v>1680.8899999999999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s="70" customFormat="1" x14ac:dyDescent="0.2">
      <c r="A166" s="47" t="s">
        <v>346</v>
      </c>
      <c r="B166" s="55" t="s">
        <v>97</v>
      </c>
      <c r="C166" s="57" t="s">
        <v>366</v>
      </c>
      <c r="D166" s="57" t="s">
        <v>199</v>
      </c>
      <c r="E166" s="46">
        <v>1</v>
      </c>
      <c r="F166" s="43" t="s">
        <v>445</v>
      </c>
      <c r="G166" s="44">
        <v>844.87</v>
      </c>
      <c r="H166" s="44">
        <v>566.5</v>
      </c>
      <c r="I166" s="45">
        <f t="shared" si="7"/>
        <v>1411.37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s="70" customFormat="1" x14ac:dyDescent="0.2">
      <c r="A167" s="47" t="s">
        <v>346</v>
      </c>
      <c r="B167" s="55" t="s">
        <v>97</v>
      </c>
      <c r="C167" s="57" t="s">
        <v>291</v>
      </c>
      <c r="D167" s="57" t="s">
        <v>199</v>
      </c>
      <c r="E167" s="46">
        <v>1</v>
      </c>
      <c r="F167" s="43" t="s">
        <v>446</v>
      </c>
      <c r="G167" s="44">
        <v>852.4</v>
      </c>
      <c r="H167" s="44">
        <v>566.5</v>
      </c>
      <c r="I167" s="45">
        <f t="shared" si="7"/>
        <v>1418.9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s="70" customFormat="1" x14ac:dyDescent="0.2">
      <c r="A168" s="47" t="s">
        <v>94</v>
      </c>
      <c r="B168" s="55" t="s">
        <v>342</v>
      </c>
      <c r="C168" s="57" t="s">
        <v>291</v>
      </c>
      <c r="D168" s="57" t="s">
        <v>199</v>
      </c>
      <c r="E168" s="46">
        <v>1</v>
      </c>
      <c r="F168" s="43" t="s">
        <v>447</v>
      </c>
      <c r="G168" s="44">
        <v>809.06</v>
      </c>
      <c r="H168" s="44">
        <v>849.76</v>
      </c>
      <c r="I168" s="45">
        <f t="shared" si="7"/>
        <v>1658.82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s="70" customFormat="1" x14ac:dyDescent="0.2">
      <c r="A169" s="47" t="s">
        <v>341</v>
      </c>
      <c r="B169" s="55" t="s">
        <v>342</v>
      </c>
      <c r="C169" s="57" t="s">
        <v>291</v>
      </c>
      <c r="D169" s="57" t="s">
        <v>181</v>
      </c>
      <c r="E169" s="46">
        <v>1</v>
      </c>
      <c r="F169" s="43" t="s">
        <v>448</v>
      </c>
      <c r="G169" s="44">
        <v>0</v>
      </c>
      <c r="H169" s="44">
        <v>849.76</v>
      </c>
      <c r="I169" s="45">
        <f t="shared" si="7"/>
        <v>849.76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s="70" customFormat="1" x14ac:dyDescent="0.2">
      <c r="A170" s="47" t="s">
        <v>340</v>
      </c>
      <c r="B170" s="55" t="s">
        <v>93</v>
      </c>
      <c r="C170" s="57" t="s">
        <v>291</v>
      </c>
      <c r="D170" s="57" t="s">
        <v>199</v>
      </c>
      <c r="E170" s="46">
        <v>1</v>
      </c>
      <c r="F170" s="43" t="s">
        <v>449</v>
      </c>
      <c r="G170" s="44">
        <v>852.4</v>
      </c>
      <c r="H170" s="44">
        <v>1392.8</v>
      </c>
      <c r="I170" s="45">
        <f t="shared" si="7"/>
        <v>2245.1999999999998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s="70" customFormat="1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450</v>
      </c>
      <c r="G171" s="44">
        <v>844.87</v>
      </c>
      <c r="H171" s="44">
        <v>1392.8</v>
      </c>
      <c r="I171" s="45">
        <f t="shared" si="7"/>
        <v>2237.67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s="70" customFormat="1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451</v>
      </c>
      <c r="G172" s="44">
        <v>852.4</v>
      </c>
      <c r="H172" s="44">
        <v>1392.8</v>
      </c>
      <c r="I172" s="45">
        <f t="shared" si="7"/>
        <v>2245.1999999999998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s="70" customFormat="1" x14ac:dyDescent="0.2">
      <c r="A173" s="47" t="s">
        <v>346</v>
      </c>
      <c r="B173" s="55" t="s">
        <v>97</v>
      </c>
      <c r="C173" s="57" t="s">
        <v>291</v>
      </c>
      <c r="D173" s="57" t="s">
        <v>199</v>
      </c>
      <c r="E173" s="46">
        <v>1</v>
      </c>
      <c r="F173" s="43" t="s">
        <v>452</v>
      </c>
      <c r="G173" s="44">
        <v>852.4</v>
      </c>
      <c r="H173" s="44">
        <v>566.5</v>
      </c>
      <c r="I173" s="45">
        <f t="shared" si="7"/>
        <v>1418.9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s="70" customFormat="1" x14ac:dyDescent="0.2">
      <c r="A174" s="47" t="s">
        <v>344</v>
      </c>
      <c r="B174" s="55" t="s">
        <v>345</v>
      </c>
      <c r="C174" s="57" t="s">
        <v>291</v>
      </c>
      <c r="D174" s="57" t="s">
        <v>199</v>
      </c>
      <c r="E174" s="46">
        <v>1</v>
      </c>
      <c r="F174" s="43" t="s">
        <v>453</v>
      </c>
      <c r="G174" s="44">
        <v>1509.2</v>
      </c>
      <c r="H174" s="44">
        <v>505.81</v>
      </c>
      <c r="I174" s="45">
        <f t="shared" si="7"/>
        <v>2015.01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s="70" customFormat="1" x14ac:dyDescent="0.2">
      <c r="A175" s="47" t="s">
        <v>367</v>
      </c>
      <c r="B175" s="55" t="s">
        <v>103</v>
      </c>
      <c r="C175" s="57" t="s">
        <v>291</v>
      </c>
      <c r="D175" s="57" t="s">
        <v>199</v>
      </c>
      <c r="E175" s="46">
        <v>1</v>
      </c>
      <c r="F175" s="43" t="s">
        <v>454</v>
      </c>
      <c r="G175" s="44">
        <v>1509.2</v>
      </c>
      <c r="H175" s="44">
        <v>364.17</v>
      </c>
      <c r="I175" s="45">
        <f t="shared" si="7"/>
        <v>1873.3700000000001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s="70" customFormat="1" x14ac:dyDescent="0.2">
      <c r="A176" s="47" t="s">
        <v>340</v>
      </c>
      <c r="B176" s="55" t="s">
        <v>93</v>
      </c>
      <c r="C176" s="57" t="s">
        <v>203</v>
      </c>
      <c r="D176" s="57" t="s">
        <v>181</v>
      </c>
      <c r="E176" s="46">
        <v>1</v>
      </c>
      <c r="F176" s="43" t="s">
        <v>455</v>
      </c>
      <c r="G176" s="44">
        <v>0</v>
      </c>
      <c r="H176" s="44">
        <v>1392.8</v>
      </c>
      <c r="I176" s="45">
        <f t="shared" si="7"/>
        <v>1392.8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s="70" customFormat="1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456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s="70" customFormat="1" x14ac:dyDescent="0.2">
      <c r="A178" s="47" t="s">
        <v>340</v>
      </c>
      <c r="B178" s="55" t="s">
        <v>93</v>
      </c>
      <c r="C178" s="57" t="s">
        <v>203</v>
      </c>
      <c r="D178" s="57" t="s">
        <v>199</v>
      </c>
      <c r="E178" s="46">
        <v>1</v>
      </c>
      <c r="F178" s="43" t="s">
        <v>457</v>
      </c>
      <c r="G178" s="44">
        <v>1509.2</v>
      </c>
      <c r="H178" s="44">
        <v>1392.8</v>
      </c>
      <c r="I178" s="45">
        <f t="shared" si="7"/>
        <v>2902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s="70" customFormat="1" x14ac:dyDescent="0.2">
      <c r="A179" s="47" t="s">
        <v>346</v>
      </c>
      <c r="B179" s="55" t="s">
        <v>97</v>
      </c>
      <c r="C179" s="57" t="s">
        <v>295</v>
      </c>
      <c r="D179" s="57" t="s">
        <v>199</v>
      </c>
      <c r="E179" s="46">
        <v>1</v>
      </c>
      <c r="F179" s="43" t="s">
        <v>458</v>
      </c>
      <c r="G179" s="44">
        <v>844.87</v>
      </c>
      <c r="H179" s="44">
        <v>566.5</v>
      </c>
      <c r="I179" s="45">
        <f t="shared" si="7"/>
        <v>1411.37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s="70" customFormat="1" x14ac:dyDescent="0.2">
      <c r="A180" s="47" t="s">
        <v>341</v>
      </c>
      <c r="B180" s="55" t="s">
        <v>342</v>
      </c>
      <c r="C180" s="57" t="s">
        <v>295</v>
      </c>
      <c r="D180" s="57" t="s">
        <v>199</v>
      </c>
      <c r="E180" s="46">
        <v>1</v>
      </c>
      <c r="F180" s="43" t="s">
        <v>459</v>
      </c>
      <c r="G180" s="44">
        <v>1509.2</v>
      </c>
      <c r="H180" s="44">
        <v>849.76</v>
      </c>
      <c r="I180" s="45">
        <f t="shared" si="7"/>
        <v>2358.96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s="70" customFormat="1" x14ac:dyDescent="0.2">
      <c r="A181" s="47" t="s">
        <v>341</v>
      </c>
      <c r="B181" s="55" t="s">
        <v>342</v>
      </c>
      <c r="C181" s="57" t="s">
        <v>299</v>
      </c>
      <c r="D181" s="57" t="s">
        <v>199</v>
      </c>
      <c r="E181" s="46">
        <v>1</v>
      </c>
      <c r="F181" s="43" t="s">
        <v>460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s="70" customFormat="1" ht="28.5" x14ac:dyDescent="0.2">
      <c r="A182" s="47" t="s">
        <v>341</v>
      </c>
      <c r="B182" s="55" t="s">
        <v>342</v>
      </c>
      <c r="C182" s="57" t="s">
        <v>368</v>
      </c>
      <c r="D182" s="57" t="s">
        <v>199</v>
      </c>
      <c r="E182" s="46">
        <v>1</v>
      </c>
      <c r="F182" s="43" t="s">
        <v>461</v>
      </c>
      <c r="G182" s="44">
        <v>987.85</v>
      </c>
      <c r="H182" s="44">
        <v>849.76</v>
      </c>
      <c r="I182" s="45">
        <f t="shared" si="7"/>
        <v>1837.6100000000001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s="70" customFormat="1" x14ac:dyDescent="0.2">
      <c r="A183" s="47" t="s">
        <v>344</v>
      </c>
      <c r="B183" s="55" t="s">
        <v>345</v>
      </c>
      <c r="C183" s="57" t="s">
        <v>368</v>
      </c>
      <c r="D183" s="57" t="s">
        <v>199</v>
      </c>
      <c r="E183" s="46">
        <v>1</v>
      </c>
      <c r="F183" s="43" t="s">
        <v>462</v>
      </c>
      <c r="G183" s="44">
        <v>990.49</v>
      </c>
      <c r="H183" s="44">
        <v>505.81</v>
      </c>
      <c r="I183" s="45">
        <f t="shared" si="7"/>
        <v>1496.3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s="70" customFormat="1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463</v>
      </c>
      <c r="G184" s="44">
        <v>987.85</v>
      </c>
      <c r="H184" s="44">
        <v>505.81</v>
      </c>
      <c r="I184" s="45">
        <f t="shared" si="7"/>
        <v>1493.66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s="70" customFormat="1" x14ac:dyDescent="0.2">
      <c r="A185" s="47" t="s">
        <v>346</v>
      </c>
      <c r="B185" s="55" t="s">
        <v>97</v>
      </c>
      <c r="C185" s="57" t="s">
        <v>368</v>
      </c>
      <c r="D185" s="57" t="s">
        <v>199</v>
      </c>
      <c r="E185" s="46">
        <v>1</v>
      </c>
      <c r="F185" s="43" t="s">
        <v>464</v>
      </c>
      <c r="G185" s="44">
        <v>974.09</v>
      </c>
      <c r="H185" s="44">
        <v>566.5</v>
      </c>
      <c r="I185" s="45">
        <f t="shared" si="7"/>
        <v>1540.5900000000001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s="70" customFormat="1" x14ac:dyDescent="0.2">
      <c r="A186" s="47" t="s">
        <v>346</v>
      </c>
      <c r="B186" s="55" t="s">
        <v>97</v>
      </c>
      <c r="C186" s="57" t="s">
        <v>369</v>
      </c>
      <c r="D186" s="57" t="s">
        <v>199</v>
      </c>
      <c r="E186" s="46">
        <v>1</v>
      </c>
      <c r="F186" s="43" t="s">
        <v>465</v>
      </c>
      <c r="G186" s="44">
        <v>852.4</v>
      </c>
      <c r="H186" s="44">
        <v>566.5</v>
      </c>
      <c r="I186" s="45">
        <f t="shared" si="7"/>
        <v>1418.9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s="70" customFormat="1" x14ac:dyDescent="0.2">
      <c r="A187" s="47" t="s">
        <v>341</v>
      </c>
      <c r="B187" s="55" t="s">
        <v>342</v>
      </c>
      <c r="C187" s="57" t="s">
        <v>370</v>
      </c>
      <c r="D187" s="57" t="s">
        <v>199</v>
      </c>
      <c r="E187" s="46">
        <v>1</v>
      </c>
      <c r="F187" s="43" t="s">
        <v>466</v>
      </c>
      <c r="G187" s="44">
        <v>835.87</v>
      </c>
      <c r="H187" s="44">
        <v>849.76</v>
      </c>
      <c r="I187" s="45">
        <f t="shared" si="7"/>
        <v>1685.63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s="70" customFormat="1" x14ac:dyDescent="0.2">
      <c r="A188" s="47" t="s">
        <v>346</v>
      </c>
      <c r="B188" s="55" t="s">
        <v>97</v>
      </c>
      <c r="C188" s="57" t="s">
        <v>370</v>
      </c>
      <c r="D188" s="57" t="s">
        <v>181</v>
      </c>
      <c r="E188" s="46">
        <v>1</v>
      </c>
      <c r="F188" s="43" t="s">
        <v>467</v>
      </c>
      <c r="G188" s="44">
        <v>0</v>
      </c>
      <c r="H188" s="44">
        <v>566.5</v>
      </c>
      <c r="I188" s="45">
        <f t="shared" si="7"/>
        <v>566.5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s="70" customFormat="1" x14ac:dyDescent="0.2">
      <c r="A189" s="47" t="s">
        <v>346</v>
      </c>
      <c r="B189" s="55" t="s">
        <v>97</v>
      </c>
      <c r="C189" s="57" t="s">
        <v>371</v>
      </c>
      <c r="D189" s="57" t="s">
        <v>199</v>
      </c>
      <c r="E189" s="46">
        <v>1</v>
      </c>
      <c r="F189" s="43" t="s">
        <v>468</v>
      </c>
      <c r="G189" s="44">
        <v>965.59</v>
      </c>
      <c r="H189" s="44">
        <v>566.5</v>
      </c>
      <c r="I189" s="45">
        <f t="shared" si="7"/>
        <v>1532.0900000000001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s="70" customFormat="1" x14ac:dyDescent="0.2">
      <c r="A190" s="47" t="s">
        <v>346</v>
      </c>
      <c r="B190" s="55" t="s">
        <v>97</v>
      </c>
      <c r="C190" s="57" t="s">
        <v>372</v>
      </c>
      <c r="D190" s="57" t="s">
        <v>199</v>
      </c>
      <c r="E190" s="46">
        <v>1</v>
      </c>
      <c r="F190" s="43" t="s">
        <v>469</v>
      </c>
      <c r="G190" s="44">
        <v>853.96</v>
      </c>
      <c r="H190" s="44">
        <v>566.5</v>
      </c>
      <c r="I190" s="45">
        <f t="shared" si="7"/>
        <v>1420.46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53" t="s">
        <v>340</v>
      </c>
      <c r="B191" s="54" t="s">
        <v>93</v>
      </c>
      <c r="C191" s="57" t="s">
        <v>194</v>
      </c>
      <c r="D191" s="15" t="s">
        <v>181</v>
      </c>
      <c r="E191" s="46">
        <v>1</v>
      </c>
      <c r="F191" s="14" t="s">
        <v>470</v>
      </c>
      <c r="G191" s="44">
        <v>0</v>
      </c>
      <c r="H191" s="44">
        <v>1392.8</v>
      </c>
      <c r="I191" s="45">
        <f t="shared" si="7"/>
        <v>1392.8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3" t="s">
        <v>365</v>
      </c>
      <c r="B192" s="54" t="s">
        <v>93</v>
      </c>
      <c r="C192" s="55" t="s">
        <v>373</v>
      </c>
      <c r="D192" s="15" t="s">
        <v>199</v>
      </c>
      <c r="E192" s="46">
        <v>1</v>
      </c>
      <c r="F192" s="56" t="s">
        <v>471</v>
      </c>
      <c r="G192" s="44">
        <v>837.26</v>
      </c>
      <c r="H192" s="44">
        <v>1392.8</v>
      </c>
      <c r="I192" s="45">
        <f t="shared" si="7"/>
        <v>2230.06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3" t="s">
        <v>340</v>
      </c>
      <c r="B193" s="54" t="s">
        <v>93</v>
      </c>
      <c r="C193" s="55" t="s">
        <v>373</v>
      </c>
      <c r="D193" s="15" t="s">
        <v>199</v>
      </c>
      <c r="E193" s="46">
        <v>1</v>
      </c>
      <c r="F193" s="56" t="s">
        <v>472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3" t="s">
        <v>365</v>
      </c>
      <c r="B194" s="54" t="s">
        <v>93</v>
      </c>
      <c r="C194" s="55" t="s">
        <v>373</v>
      </c>
      <c r="D194" s="15" t="s">
        <v>199</v>
      </c>
      <c r="E194" s="46">
        <v>1</v>
      </c>
      <c r="F194" s="56" t="s">
        <v>473</v>
      </c>
      <c r="G194" s="44">
        <v>844.13</v>
      </c>
      <c r="H194" s="44">
        <v>1392.8</v>
      </c>
      <c r="I194" s="45">
        <f t="shared" si="7"/>
        <v>2236.9299999999998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3" t="s">
        <v>346</v>
      </c>
      <c r="B195" s="54" t="s">
        <v>97</v>
      </c>
      <c r="C195" s="55" t="s">
        <v>373</v>
      </c>
      <c r="D195" s="15" t="s">
        <v>181</v>
      </c>
      <c r="E195" s="46">
        <v>1</v>
      </c>
      <c r="F195" s="56" t="s">
        <v>474</v>
      </c>
      <c r="G195" s="44">
        <v>0</v>
      </c>
      <c r="H195" s="44">
        <v>566.5</v>
      </c>
      <c r="I195" s="45">
        <f t="shared" si="7"/>
        <v>566.5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3" t="s">
        <v>365</v>
      </c>
      <c r="B196" s="54" t="s">
        <v>93</v>
      </c>
      <c r="C196" s="55" t="s">
        <v>373</v>
      </c>
      <c r="D196" s="15" t="s">
        <v>199</v>
      </c>
      <c r="E196" s="46">
        <v>1</v>
      </c>
      <c r="F196" s="56" t="s">
        <v>475</v>
      </c>
      <c r="G196" s="44">
        <v>830.46</v>
      </c>
      <c r="H196" s="44">
        <v>1392.8</v>
      </c>
      <c r="I196" s="45">
        <f t="shared" si="7"/>
        <v>2223.2600000000002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3" t="s">
        <v>365</v>
      </c>
      <c r="B197" s="54" t="s">
        <v>93</v>
      </c>
      <c r="C197" s="55" t="s">
        <v>373</v>
      </c>
      <c r="D197" s="15" t="s">
        <v>199</v>
      </c>
      <c r="E197" s="46">
        <v>1</v>
      </c>
      <c r="F197" s="56" t="s">
        <v>476</v>
      </c>
      <c r="G197" s="44">
        <v>837.13</v>
      </c>
      <c r="H197" s="44">
        <v>1392.8</v>
      </c>
      <c r="I197" s="45">
        <f t="shared" si="7"/>
        <v>2229.9299999999998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45" x14ac:dyDescent="0.2">
      <c r="A198" s="23" t="s">
        <v>84</v>
      </c>
      <c r="B198" s="23" t="s">
        <v>85</v>
      </c>
      <c r="C198" s="24" t="s">
        <v>86</v>
      </c>
      <c r="D198" s="24" t="s">
        <v>87</v>
      </c>
      <c r="E198" s="24" t="s">
        <v>88</v>
      </c>
      <c r="F198" s="48"/>
      <c r="G198" s="24" t="s">
        <v>89</v>
      </c>
      <c r="H198" s="24" t="s">
        <v>90</v>
      </c>
      <c r="I198" s="24" t="s">
        <v>91</v>
      </c>
      <c r="J198" s="21"/>
      <c r="K198" s="21"/>
      <c r="L198" s="21"/>
      <c r="M198" s="21"/>
      <c r="N198" s="21"/>
      <c r="O198" s="21"/>
      <c r="P198" s="21"/>
      <c r="Q198" s="21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 spans="1:30" x14ac:dyDescent="0.2">
      <c r="A199" s="58" t="s">
        <v>92</v>
      </c>
      <c r="B199" s="59" t="s">
        <v>93</v>
      </c>
      <c r="C199" s="28">
        <f>SUMIFS($E$94:$E$197,$B$94:$B$197,"FGS-1",$D$94:$D$197,"&lt;&gt;VAGO")</f>
        <v>44</v>
      </c>
      <c r="D199" s="28">
        <f>SUMIFS($E$94:$E$197,$B$94:$B$197,"FGS-1",$D$94:$D$197,"VAGO")</f>
        <v>0</v>
      </c>
      <c r="E199" s="28">
        <f t="shared" ref="E199:E204" si="8">C199+D199</f>
        <v>44</v>
      </c>
      <c r="F199" s="29"/>
      <c r="G199" s="20">
        <f>SUMIF($B$94:$B$197,"FGS-1",$G$94:$G$197)</f>
        <v>18221.71</v>
      </c>
      <c r="H199" s="20">
        <f>SUMIF($B$94:$B$197,"FGS-1",$H$94:$H$197)</f>
        <v>61283.200000000048</v>
      </c>
      <c r="I199" s="71">
        <f>SUMIF($B$94:$B$197,"FGS-1",$I$94:$I$197)</f>
        <v>79504.91</v>
      </c>
      <c r="J199" s="21"/>
      <c r="K199" s="21"/>
      <c r="L199" s="21"/>
      <c r="M199" s="21"/>
      <c r="N199" s="21"/>
      <c r="O199" s="21"/>
      <c r="P199" s="21"/>
      <c r="Q199" s="21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spans="1:30" x14ac:dyDescent="0.2">
      <c r="A200" s="58" t="s">
        <v>94</v>
      </c>
      <c r="B200" s="59" t="s">
        <v>95</v>
      </c>
      <c r="C200" s="28">
        <f>SUMIFS($E$94:$E$197,$B$94:$B$197,"FGS-2",$D$94:$D$197,"&lt;&gt;VAGO")</f>
        <v>20</v>
      </c>
      <c r="D200" s="28">
        <f>SUMIFS($E$94:$E$197,$B$94:$B$197,"FGS-2",$D$94:$D$197,"VAGO")</f>
        <v>0</v>
      </c>
      <c r="E200" s="28">
        <f t="shared" si="8"/>
        <v>20</v>
      </c>
      <c r="F200" s="32"/>
      <c r="G200" s="20">
        <f>SUMIF($B$94:$B$197,"FGS-2",$G$94:$G$197)</f>
        <v>18169.02</v>
      </c>
      <c r="H200" s="20">
        <f>SUMIF($B$94:$B$197,"FGS-2",$H$94:$H$197)</f>
        <v>16995.2</v>
      </c>
      <c r="I200" s="71">
        <f>SUMIF($B$94:$B$197,"FGS-2",$I$94:$I$197)</f>
        <v>35164.219999999987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26" t="s">
        <v>96</v>
      </c>
      <c r="B201" s="50" t="s">
        <v>97</v>
      </c>
      <c r="C201" s="28">
        <f>SUMIFS($E$94:$E$197,$B$94:$B$197,"FGS-3",$D$94:$D$197,"&lt;&gt;VAGO")</f>
        <v>31</v>
      </c>
      <c r="D201" s="28">
        <f>SUMIFS($E$94:$E$197,$B$94:$B$197,"FGS-3",$D$94:$D$197,"VAGO")</f>
        <v>1</v>
      </c>
      <c r="E201" s="28">
        <f t="shared" si="8"/>
        <v>32</v>
      </c>
      <c r="F201" s="32"/>
      <c r="G201" s="20">
        <f>SUMIF($B$94:$B$197,"FGS-3",$G$94:$G$197)</f>
        <v>35157.229999999996</v>
      </c>
      <c r="H201" s="20">
        <f>SUMIF($B$94:$B$197,"FGS-3",$H$94:$H$197)</f>
        <v>18954.3</v>
      </c>
      <c r="I201" s="71">
        <f>SUMIF($B$94:$B$197,"FGS-3",$I$94:$I$197)</f>
        <v>54111.530000000006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60" t="s">
        <v>98</v>
      </c>
      <c r="B202" s="61" t="s">
        <v>99</v>
      </c>
      <c r="C202" s="28">
        <f>SUMIFS($E$94:$E$197,$B$94:$B$197,"FGA-1",$D$94:$D$197,"&lt;&gt;VAGO")</f>
        <v>5</v>
      </c>
      <c r="D202" s="28">
        <f>SUMIFS($E$94:$E$197,$B$94:$B$197,"FGA-1",$D$94:$D$197,"VAGO")</f>
        <v>0</v>
      </c>
      <c r="E202" s="28">
        <f t="shared" si="8"/>
        <v>5</v>
      </c>
      <c r="F202" s="34"/>
      <c r="G202" s="20">
        <f>SUMIF($B$94:$B$197,"FGA-1",$G$94:$G$197)</f>
        <v>5171.2</v>
      </c>
      <c r="H202" s="20">
        <f>SUMIF($B$94:$B$197,"FGA-1",$H$94:$H$197)</f>
        <v>2529.0500000000002</v>
      </c>
      <c r="I202" s="71">
        <f>SUMIF($B$94:$B$197,"FGA-1",$I$94:$I$197)</f>
        <v>7700.25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26" t="s">
        <v>100</v>
      </c>
      <c r="B203" s="50" t="s">
        <v>101</v>
      </c>
      <c r="C203" s="28">
        <f>SUMIFS($E$94:$E$197,$B$94:$B$197,"FGA-2",$D$94:$D$197,"&lt;&gt;VAGO")</f>
        <v>2</v>
      </c>
      <c r="D203" s="28">
        <f>SUMIFS($E$94:$E$197,$B$94:$B$197,"FGA-2",$D$94:$D$197,"VAGO")</f>
        <v>0</v>
      </c>
      <c r="E203" s="28">
        <f t="shared" si="8"/>
        <v>2</v>
      </c>
      <c r="F203" s="34"/>
      <c r="G203" s="20">
        <f>SUMIF($B$94:$B$197,"FGA-2",$G$94:$G$197)</f>
        <v>2340.46</v>
      </c>
      <c r="H203" s="20">
        <f>SUMIF($B$94:$B$197,"FGA-2",$H$94:$H$197)</f>
        <v>1315.1100000000001</v>
      </c>
      <c r="I203" s="71">
        <f>SUMIF($B$94:$B$197,"FGA-2",$I$94:$I$197)</f>
        <v>3655.57</v>
      </c>
      <c r="J203" s="21"/>
      <c r="K203" s="21"/>
      <c r="L203" s="21"/>
      <c r="M203" s="21"/>
      <c r="N203" s="21"/>
      <c r="O203" s="21"/>
      <c r="P203" s="21"/>
      <c r="Q203" s="21"/>
      <c r="R203" s="40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102</v>
      </c>
      <c r="B204" s="50" t="s">
        <v>103</v>
      </c>
      <c r="C204" s="28">
        <f>SUMIFS($E$94:$E$197,$B$94:$B$197,"FGA-3",$D$94:$D$197,"&lt;&gt;VAGO")</f>
        <v>1</v>
      </c>
      <c r="D204" s="28">
        <f>SUMIFS($E$94:$E$197,$B$94:$B$197,"FGA-3",$D$94:$D$197,"VAGO")</f>
        <v>0</v>
      </c>
      <c r="E204" s="28">
        <f t="shared" si="8"/>
        <v>1</v>
      </c>
      <c r="F204" s="32"/>
      <c r="G204" s="20">
        <f>SUMIF($B$94:$B$197,"FGA-3",$G$94:$G$197)</f>
        <v>1509.2</v>
      </c>
      <c r="H204" s="20">
        <f>SUMIF($B$94:$B$197,"FGA-3",$H$94:$H$197)</f>
        <v>364.17</v>
      </c>
      <c r="I204" s="71">
        <f>SUMIF($B$94:$B$197,"FGA-3",$I$94:$I$197)</f>
        <v>1873.3700000000001</v>
      </c>
      <c r="J204" s="21"/>
      <c r="K204" s="21"/>
      <c r="L204" s="21"/>
      <c r="M204" s="21"/>
      <c r="N204" s="21"/>
      <c r="O204" s="21"/>
      <c r="P204" s="21"/>
      <c r="Q204" s="21"/>
      <c r="R204" s="49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 spans="1:30" ht="30" x14ac:dyDescent="0.2">
      <c r="A205" s="23" t="s">
        <v>104</v>
      </c>
      <c r="B205" s="48"/>
      <c r="C205" s="35">
        <f t="shared" ref="C205:E205" si="9">SUM(C199:C204)</f>
        <v>103</v>
      </c>
      <c r="D205" s="35">
        <f t="shared" si="9"/>
        <v>1</v>
      </c>
      <c r="E205" s="35">
        <f t="shared" si="9"/>
        <v>104</v>
      </c>
      <c r="F205" s="48"/>
      <c r="G205" s="51">
        <f t="shared" ref="G205:I205" si="10">SUM(G199:G204)</f>
        <v>80568.819999999992</v>
      </c>
      <c r="H205" s="51">
        <f t="shared" si="10"/>
        <v>101441.03000000006</v>
      </c>
      <c r="I205" s="51">
        <f t="shared" si="10"/>
        <v>182009.85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x14ac:dyDescent="0.2">
      <c r="A206" s="37"/>
      <c r="B206" s="37"/>
      <c r="C206" s="37"/>
      <c r="D206" s="37"/>
      <c r="E206" s="37"/>
      <c r="F206" s="37"/>
      <c r="G206" s="37"/>
      <c r="H206" s="37"/>
      <c r="I206" s="62"/>
      <c r="J206" s="39"/>
      <c r="K206" s="7"/>
      <c r="L206" s="39"/>
      <c r="M206" s="39"/>
      <c r="N206" s="39"/>
      <c r="O206" s="39"/>
      <c r="P206" s="39"/>
      <c r="Q206" s="39"/>
      <c r="R206" s="40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spans="1:30" ht="45" x14ac:dyDescent="0.2">
      <c r="A207" s="23"/>
      <c r="B207" s="63"/>
      <c r="C207" s="24" t="s">
        <v>105</v>
      </c>
      <c r="D207" s="24" t="s">
        <v>106</v>
      </c>
      <c r="E207" s="24" t="s">
        <v>107</v>
      </c>
      <c r="F207" s="25"/>
      <c r="G207" s="24" t="s">
        <v>108</v>
      </c>
      <c r="H207" s="24" t="s">
        <v>109</v>
      </c>
      <c r="I207" s="24" t="s">
        <v>110</v>
      </c>
      <c r="J207" s="39"/>
      <c r="K207" s="7"/>
      <c r="L207" s="39"/>
      <c r="M207" s="39"/>
      <c r="N207" s="39"/>
      <c r="O207" s="39"/>
      <c r="P207" s="39"/>
      <c r="Q207" s="39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30" x14ac:dyDescent="0.2">
      <c r="A208" s="23" t="s">
        <v>111</v>
      </c>
      <c r="B208" s="25"/>
      <c r="C208" s="35">
        <f>SUM(C39+C90+C205)</f>
        <v>151</v>
      </c>
      <c r="D208" s="35">
        <f>SUM(D39+D90+D205)</f>
        <v>14</v>
      </c>
      <c r="E208" s="35">
        <f>SUM(E39+E90+E205)</f>
        <v>165</v>
      </c>
      <c r="F208" s="25"/>
      <c r="G208" s="51">
        <f>SUM(H39+G90+G205)</f>
        <v>143869.53999999998</v>
      </c>
      <c r="H208" s="51">
        <f>SUM(I39+H90+H205)</f>
        <v>289884.74000000011</v>
      </c>
      <c r="I208" s="51">
        <f>SUM(J39+I90+I205)</f>
        <v>451754.28</v>
      </c>
      <c r="J208" s="39"/>
      <c r="K208" s="7"/>
      <c r="L208" s="39"/>
      <c r="M208" s="39"/>
      <c r="N208" s="39"/>
      <c r="O208" s="39"/>
      <c r="P208" s="39"/>
      <c r="Q208" s="39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x14ac:dyDescent="0.2">
      <c r="A209" s="37"/>
      <c r="B209" s="37"/>
      <c r="C209" s="37"/>
      <c r="D209" s="37"/>
      <c r="E209" s="37"/>
      <c r="F209" s="37"/>
      <c r="G209" s="37"/>
      <c r="H209" s="37"/>
      <c r="I209" s="62"/>
      <c r="J209" s="39"/>
      <c r="K209" s="7"/>
      <c r="L209" s="39"/>
      <c r="M209" s="39"/>
      <c r="N209" s="39"/>
      <c r="O209" s="39"/>
      <c r="P209" s="39"/>
      <c r="Q209" s="39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x14ac:dyDescent="0.2">
      <c r="A210" s="100" t="s">
        <v>112</v>
      </c>
      <c r="B210" s="93"/>
      <c r="C210" s="93"/>
      <c r="D210" s="93"/>
      <c r="E210" s="93"/>
      <c r="F210" s="94"/>
      <c r="G210" s="21"/>
      <c r="H210" s="31"/>
      <c r="I210" s="31"/>
      <c r="J210" s="31"/>
      <c r="K210" s="21"/>
      <c r="L210" s="31"/>
      <c r="M210" s="39"/>
      <c r="N210" s="39"/>
      <c r="O210" s="39"/>
      <c r="P210" s="39"/>
      <c r="Q210" s="39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">
      <c r="A211" s="101" t="s">
        <v>113</v>
      </c>
      <c r="B211" s="93"/>
      <c r="C211" s="93"/>
      <c r="D211" s="93"/>
      <c r="E211" s="93"/>
      <c r="F211" s="94"/>
      <c r="G211" s="21"/>
      <c r="H211" s="31"/>
      <c r="I211" s="31"/>
      <c r="J211" s="31"/>
      <c r="K211" s="31"/>
      <c r="L211" s="31"/>
      <c r="M211" s="39"/>
      <c r="N211" s="39"/>
      <c r="O211" s="39"/>
      <c r="P211" s="39"/>
      <c r="Q211" s="39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482</v>
      </c>
      <c r="B212" s="93"/>
      <c r="C212" s="93"/>
      <c r="D212" s="93"/>
      <c r="E212" s="93"/>
      <c r="F212" s="94"/>
      <c r="G212" s="21"/>
      <c r="H212" s="31"/>
      <c r="I212" s="31"/>
      <c r="J212" s="31"/>
      <c r="K212" s="31"/>
      <c r="L212" s="31"/>
      <c r="M212" s="39"/>
      <c r="N212" s="39"/>
      <c r="O212" s="39"/>
      <c r="P212" s="39"/>
      <c r="Q212" s="39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x14ac:dyDescent="0.2">
      <c r="A213" s="102" t="s">
        <v>483</v>
      </c>
      <c r="B213" s="93"/>
      <c r="C213" s="93"/>
      <c r="D213" s="93"/>
      <c r="E213" s="93"/>
      <c r="F213" s="94"/>
      <c r="G213" s="21"/>
      <c r="H213" s="31"/>
      <c r="I213" s="31"/>
      <c r="J213" s="31"/>
      <c r="K213" s="31"/>
      <c r="L213" s="31"/>
      <c r="M213" s="39"/>
      <c r="N213" s="39"/>
      <c r="O213" s="39"/>
      <c r="P213" s="39"/>
      <c r="Q213" s="39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x14ac:dyDescent="0.2">
      <c r="A214" s="102" t="s">
        <v>481</v>
      </c>
      <c r="B214" s="93"/>
      <c r="C214" s="93"/>
      <c r="D214" s="93"/>
      <c r="E214" s="93"/>
      <c r="F214" s="94"/>
      <c r="G214" s="21"/>
      <c r="H214" s="31"/>
      <c r="I214" s="31"/>
      <c r="J214" s="31"/>
      <c r="K214" s="31"/>
      <c r="L214" s="31"/>
      <c r="M214" s="39"/>
      <c r="N214" s="39"/>
      <c r="O214" s="39"/>
      <c r="P214" s="39"/>
      <c r="Q214" s="39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x14ac:dyDescent="0.2">
      <c r="A215" s="102" t="s">
        <v>480</v>
      </c>
      <c r="B215" s="93"/>
      <c r="C215" s="93"/>
      <c r="D215" s="93"/>
      <c r="E215" s="93"/>
      <c r="F215" s="94"/>
      <c r="G215" s="21"/>
      <c r="H215" s="31"/>
      <c r="I215" s="31"/>
      <c r="J215" s="31"/>
      <c r="K215" s="31"/>
      <c r="L215" s="31"/>
      <c r="M215" s="39"/>
      <c r="N215" s="39"/>
      <c r="O215" s="39"/>
      <c r="P215" s="39"/>
      <c r="Q215" s="39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x14ac:dyDescent="0.2">
      <c r="A216" s="103"/>
      <c r="B216" s="96"/>
      <c r="C216" s="96"/>
      <c r="D216" s="96"/>
      <c r="E216" s="96"/>
      <c r="F216" s="96"/>
      <c r="G216" s="21"/>
      <c r="H216" s="31"/>
      <c r="I216" s="31"/>
      <c r="J216" s="31"/>
      <c r="K216" s="31"/>
      <c r="L216" s="31"/>
      <c r="M216" s="39"/>
      <c r="N216" s="39"/>
      <c r="O216" s="39"/>
      <c r="P216" s="39"/>
      <c r="Q216" s="39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0" t="s">
        <v>114</v>
      </c>
      <c r="B217" s="93"/>
      <c r="C217" s="93"/>
      <c r="D217" s="93"/>
      <c r="E217" s="93"/>
      <c r="F217" s="94"/>
      <c r="G217" s="21"/>
      <c r="H217" s="31"/>
      <c r="I217" s="31"/>
      <c r="J217" s="31"/>
      <c r="K217" s="31"/>
      <c r="L217" s="31"/>
      <c r="M217" s="39"/>
      <c r="N217" s="39"/>
      <c r="O217" s="39"/>
      <c r="P217" s="39"/>
      <c r="Q217" s="39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4" t="s">
        <v>115</v>
      </c>
      <c r="B218" s="93"/>
      <c r="C218" s="93"/>
      <c r="D218" s="93"/>
      <c r="E218" s="93"/>
      <c r="F218" s="94"/>
      <c r="G218" s="21"/>
      <c r="H218" s="31"/>
      <c r="I218" s="31"/>
      <c r="J218" s="31"/>
      <c r="K218" s="31"/>
      <c r="L218" s="31"/>
      <c r="M218" s="39"/>
      <c r="N218" s="39"/>
      <c r="O218" s="39"/>
      <c r="P218" s="39"/>
      <c r="Q218" s="39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92" t="s">
        <v>116</v>
      </c>
      <c r="B219" s="93"/>
      <c r="C219" s="93"/>
      <c r="D219" s="93"/>
      <c r="E219" s="93"/>
      <c r="F219" s="94"/>
      <c r="G219" s="21"/>
      <c r="H219" s="31"/>
      <c r="I219" s="31"/>
      <c r="J219" s="31"/>
      <c r="K219" s="31"/>
      <c r="L219" s="31"/>
      <c r="M219" s="39"/>
      <c r="N219" s="39"/>
      <c r="O219" s="39"/>
      <c r="P219" s="39"/>
      <c r="Q219" s="39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117</v>
      </c>
      <c r="B220" s="93"/>
      <c r="C220" s="93"/>
      <c r="D220" s="93"/>
      <c r="E220" s="93"/>
      <c r="F220" s="94"/>
      <c r="G220" s="21"/>
      <c r="H220" s="31"/>
      <c r="I220" s="31"/>
      <c r="J220" s="31"/>
      <c r="K220" s="31"/>
      <c r="L220" s="31"/>
      <c r="M220" s="39"/>
      <c r="N220" s="39"/>
      <c r="O220" s="39"/>
      <c r="P220" s="39"/>
      <c r="Q220" s="39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118</v>
      </c>
      <c r="B221" s="93"/>
      <c r="C221" s="93"/>
      <c r="D221" s="93"/>
      <c r="E221" s="93"/>
      <c r="F221" s="94"/>
      <c r="G221" s="21"/>
      <c r="H221" s="31"/>
      <c r="I221" s="31"/>
      <c r="J221" s="31"/>
      <c r="K221" s="31"/>
      <c r="L221" s="31"/>
      <c r="M221" s="39"/>
      <c r="N221" s="39"/>
      <c r="O221" s="39"/>
      <c r="P221" s="39"/>
      <c r="Q221" s="39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119</v>
      </c>
      <c r="B222" s="93"/>
      <c r="C222" s="93"/>
      <c r="D222" s="93"/>
      <c r="E222" s="93"/>
      <c r="F222" s="94"/>
      <c r="G222" s="21"/>
      <c r="H222" s="31"/>
      <c r="I222" s="31"/>
      <c r="J222" s="31"/>
      <c r="K222" s="31"/>
      <c r="L222" s="31"/>
      <c r="M222" s="39"/>
      <c r="N222" s="39"/>
      <c r="O222" s="39"/>
      <c r="P222" s="39"/>
      <c r="Q222" s="39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120</v>
      </c>
      <c r="B223" s="93"/>
      <c r="C223" s="93"/>
      <c r="D223" s="93"/>
      <c r="E223" s="93"/>
      <c r="F223" s="94"/>
      <c r="G223" s="21"/>
      <c r="H223" s="31"/>
      <c r="I223" s="31"/>
      <c r="J223" s="31"/>
      <c r="K223" s="31"/>
      <c r="L223" s="31"/>
      <c r="M223" s="39"/>
      <c r="N223" s="39"/>
      <c r="O223" s="39"/>
      <c r="P223" s="39"/>
      <c r="Q223" s="39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121</v>
      </c>
      <c r="B224" s="93"/>
      <c r="C224" s="93"/>
      <c r="D224" s="93"/>
      <c r="E224" s="93"/>
      <c r="F224" s="94"/>
      <c r="G224" s="21"/>
      <c r="H224" s="31"/>
      <c r="I224" s="31"/>
      <c r="J224" s="31"/>
      <c r="K224" s="31"/>
      <c r="L224" s="31"/>
      <c r="M224" s="39"/>
      <c r="N224" s="39"/>
      <c r="O224" s="39"/>
      <c r="P224" s="39"/>
      <c r="Q224" s="39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122</v>
      </c>
      <c r="B225" s="93"/>
      <c r="C225" s="93"/>
      <c r="D225" s="93"/>
      <c r="E225" s="93"/>
      <c r="F225" s="94"/>
      <c r="G225" s="21"/>
      <c r="H225" s="31"/>
      <c r="I225" s="31"/>
      <c r="J225" s="31"/>
      <c r="K225" s="31"/>
      <c r="L225" s="31"/>
      <c r="M225" s="39"/>
      <c r="N225" s="39"/>
      <c r="O225" s="39"/>
      <c r="P225" s="39"/>
      <c r="Q225" s="39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123</v>
      </c>
      <c r="B226" s="93"/>
      <c r="C226" s="93"/>
      <c r="D226" s="93"/>
      <c r="E226" s="93"/>
      <c r="F226" s="94"/>
      <c r="G226" s="21"/>
      <c r="H226" s="31"/>
      <c r="I226" s="31"/>
      <c r="J226" s="31"/>
      <c r="K226" s="31"/>
      <c r="L226" s="31"/>
      <c r="M226" s="39"/>
      <c r="N226" s="39"/>
      <c r="O226" s="39"/>
      <c r="P226" s="39"/>
      <c r="Q226" s="39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124</v>
      </c>
      <c r="B227" s="93"/>
      <c r="C227" s="93"/>
      <c r="D227" s="93"/>
      <c r="E227" s="93"/>
      <c r="F227" s="94"/>
      <c r="G227" s="21"/>
      <c r="H227" s="31"/>
      <c r="I227" s="31"/>
      <c r="J227" s="31"/>
      <c r="K227" s="31"/>
      <c r="L227" s="31"/>
      <c r="M227" s="39"/>
      <c r="N227" s="39"/>
      <c r="O227" s="39"/>
      <c r="P227" s="39"/>
      <c r="Q227" s="39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125</v>
      </c>
      <c r="B228" s="93"/>
      <c r="C228" s="93"/>
      <c r="D228" s="93"/>
      <c r="E228" s="93"/>
      <c r="F228" s="94"/>
      <c r="G228" s="21"/>
      <c r="H228" s="31"/>
      <c r="I228" s="31"/>
      <c r="J228" s="31"/>
      <c r="K228" s="31"/>
      <c r="L228" s="31"/>
      <c r="M228" s="39"/>
      <c r="N228" s="39"/>
      <c r="O228" s="39"/>
      <c r="P228" s="39"/>
      <c r="Q228" s="39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126</v>
      </c>
      <c r="B229" s="93"/>
      <c r="C229" s="93"/>
      <c r="D229" s="93"/>
      <c r="E229" s="93"/>
      <c r="F229" s="94"/>
      <c r="G229" s="21"/>
      <c r="H229" s="31"/>
      <c r="I229" s="31"/>
      <c r="J229" s="31"/>
      <c r="K229" s="31"/>
      <c r="L229" s="31"/>
      <c r="M229" s="39"/>
      <c r="N229" s="39"/>
      <c r="O229" s="39"/>
      <c r="P229" s="39"/>
      <c r="Q229" s="39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127</v>
      </c>
      <c r="B230" s="93"/>
      <c r="C230" s="93"/>
      <c r="D230" s="93"/>
      <c r="E230" s="93"/>
      <c r="F230" s="94"/>
      <c r="G230" s="21"/>
      <c r="H230" s="31"/>
      <c r="I230" s="31"/>
      <c r="J230" s="31"/>
      <c r="K230" s="31"/>
      <c r="L230" s="31"/>
      <c r="M230" s="39"/>
      <c r="N230" s="39"/>
      <c r="O230" s="39"/>
      <c r="P230" s="39"/>
      <c r="Q230" s="39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128</v>
      </c>
      <c r="B231" s="93"/>
      <c r="C231" s="93"/>
      <c r="D231" s="93"/>
      <c r="E231" s="93"/>
      <c r="F231" s="94"/>
      <c r="G231" s="21"/>
      <c r="H231" s="31"/>
      <c r="I231" s="31"/>
      <c r="J231" s="31"/>
      <c r="K231" s="31"/>
      <c r="L231" s="31"/>
      <c r="M231" s="39"/>
      <c r="N231" s="39"/>
      <c r="O231" s="39"/>
      <c r="P231" s="39"/>
      <c r="Q231" s="39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129</v>
      </c>
      <c r="B232" s="93"/>
      <c r="C232" s="93"/>
      <c r="D232" s="93"/>
      <c r="E232" s="93"/>
      <c r="F232" s="94"/>
      <c r="G232" s="21"/>
      <c r="H232" s="31"/>
      <c r="I232" s="31"/>
      <c r="J232" s="31"/>
      <c r="K232" s="31"/>
      <c r="L232" s="31"/>
      <c r="M232" s="39"/>
      <c r="N232" s="39"/>
      <c r="O232" s="39"/>
      <c r="P232" s="39"/>
      <c r="Q232" s="39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130</v>
      </c>
      <c r="B233" s="93"/>
      <c r="C233" s="93"/>
      <c r="D233" s="93"/>
      <c r="E233" s="93"/>
      <c r="F233" s="94"/>
      <c r="G233" s="21"/>
      <c r="H233" s="31"/>
      <c r="I233" s="31"/>
      <c r="J233" s="31"/>
      <c r="K233" s="31"/>
      <c r="L233" s="31"/>
      <c r="M233" s="39"/>
      <c r="N233" s="39"/>
      <c r="O233" s="39"/>
      <c r="P233" s="39"/>
      <c r="Q233" s="39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131</v>
      </c>
      <c r="B234" s="93"/>
      <c r="C234" s="93"/>
      <c r="D234" s="93"/>
      <c r="E234" s="93"/>
      <c r="F234" s="94"/>
      <c r="G234" s="21"/>
      <c r="H234" s="31"/>
      <c r="I234" s="31"/>
      <c r="J234" s="31"/>
      <c r="K234" s="31"/>
      <c r="L234" s="31"/>
      <c r="M234" s="39"/>
      <c r="N234" s="39"/>
      <c r="O234" s="39"/>
      <c r="P234" s="39"/>
      <c r="Q234" s="39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132</v>
      </c>
      <c r="B235" s="93"/>
      <c r="C235" s="93"/>
      <c r="D235" s="93"/>
      <c r="E235" s="93"/>
      <c r="F235" s="94"/>
      <c r="G235" s="21"/>
      <c r="H235" s="31"/>
      <c r="I235" s="31"/>
      <c r="J235" s="31"/>
      <c r="K235" s="31"/>
      <c r="L235" s="31"/>
      <c r="M235" s="39"/>
      <c r="N235" s="39"/>
      <c r="O235" s="39"/>
      <c r="P235" s="39"/>
      <c r="Q235" s="39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133</v>
      </c>
      <c r="B236" s="93"/>
      <c r="C236" s="93"/>
      <c r="D236" s="93"/>
      <c r="E236" s="93"/>
      <c r="F236" s="94"/>
      <c r="G236" s="21"/>
      <c r="H236" s="31"/>
      <c r="I236" s="31"/>
      <c r="J236" s="31"/>
      <c r="K236" s="31"/>
      <c r="L236" s="31"/>
      <c r="M236" s="39"/>
      <c r="N236" s="39"/>
      <c r="O236" s="39"/>
      <c r="P236" s="39"/>
      <c r="Q236" s="39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134</v>
      </c>
      <c r="B237" s="93"/>
      <c r="C237" s="93"/>
      <c r="D237" s="93"/>
      <c r="E237" s="93"/>
      <c r="F237" s="94"/>
      <c r="G237" s="21"/>
      <c r="H237" s="31"/>
      <c r="I237" s="31"/>
      <c r="J237" s="31"/>
      <c r="K237" s="31"/>
      <c r="L237" s="31"/>
      <c r="M237" s="39"/>
      <c r="N237" s="39"/>
      <c r="O237" s="39"/>
      <c r="P237" s="39"/>
      <c r="Q237" s="39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135</v>
      </c>
      <c r="B238" s="93"/>
      <c r="C238" s="93"/>
      <c r="D238" s="93"/>
      <c r="E238" s="93"/>
      <c r="F238" s="94"/>
      <c r="G238" s="21"/>
      <c r="H238" s="31"/>
      <c r="I238" s="31"/>
      <c r="J238" s="31"/>
      <c r="K238" s="31"/>
      <c r="L238" s="31"/>
      <c r="M238" s="39"/>
      <c r="N238" s="39"/>
      <c r="O238" s="39"/>
      <c r="P238" s="39"/>
      <c r="Q238" s="39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136</v>
      </c>
      <c r="B239" s="93"/>
      <c r="C239" s="93"/>
      <c r="D239" s="93"/>
      <c r="E239" s="93"/>
      <c r="F239" s="94"/>
      <c r="G239" s="21"/>
      <c r="H239" s="31"/>
      <c r="I239" s="31"/>
      <c r="J239" s="31"/>
      <c r="K239" s="31"/>
      <c r="L239" s="31"/>
      <c r="M239" s="39"/>
      <c r="N239" s="39"/>
      <c r="O239" s="39"/>
      <c r="P239" s="39"/>
      <c r="Q239" s="39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137</v>
      </c>
      <c r="B240" s="93"/>
      <c r="C240" s="93"/>
      <c r="D240" s="93"/>
      <c r="E240" s="93"/>
      <c r="F240" s="94"/>
      <c r="G240" s="21"/>
      <c r="H240" s="31"/>
      <c r="I240" s="31"/>
      <c r="J240" s="31"/>
      <c r="K240" s="31"/>
      <c r="L240" s="31"/>
      <c r="M240" s="39"/>
      <c r="N240" s="39"/>
      <c r="O240" s="39"/>
      <c r="P240" s="39"/>
      <c r="Q240" s="39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138</v>
      </c>
      <c r="B241" s="93"/>
      <c r="C241" s="93"/>
      <c r="D241" s="93"/>
      <c r="E241" s="93"/>
      <c r="F241" s="94"/>
      <c r="G241" s="21"/>
      <c r="H241" s="31"/>
      <c r="I241" s="31"/>
      <c r="J241" s="31"/>
      <c r="K241" s="31"/>
      <c r="L241" s="31"/>
      <c r="M241" s="39"/>
      <c r="N241" s="39"/>
      <c r="O241" s="39"/>
      <c r="P241" s="39"/>
      <c r="Q241" s="39"/>
      <c r="R241" s="64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</row>
    <row r="242" spans="1:30" x14ac:dyDescent="0.2">
      <c r="A242" s="92" t="s">
        <v>139</v>
      </c>
      <c r="B242" s="93"/>
      <c r="C242" s="93"/>
      <c r="D242" s="93"/>
      <c r="E242" s="93"/>
      <c r="F242" s="94"/>
      <c r="G242" s="21"/>
      <c r="H242" s="31"/>
      <c r="I242" s="31"/>
      <c r="J242" s="31"/>
      <c r="K242" s="31"/>
      <c r="L242" s="31"/>
      <c r="M242" s="39"/>
      <c r="N242" s="39"/>
      <c r="O242" s="39"/>
      <c r="P242" s="39"/>
      <c r="Q242" s="39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140</v>
      </c>
      <c r="B243" s="93"/>
      <c r="C243" s="93"/>
      <c r="D243" s="93"/>
      <c r="E243" s="93"/>
      <c r="F243" s="94"/>
      <c r="G243" s="21"/>
      <c r="H243" s="31"/>
      <c r="I243" s="31"/>
      <c r="J243" s="31"/>
      <c r="K243" s="31"/>
      <c r="L243" s="31"/>
      <c r="M243" s="39"/>
      <c r="N243" s="39"/>
      <c r="O243" s="39"/>
      <c r="P243" s="39"/>
      <c r="Q243" s="39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141</v>
      </c>
      <c r="B244" s="93"/>
      <c r="C244" s="93"/>
      <c r="D244" s="93"/>
      <c r="E244" s="93"/>
      <c r="F244" s="94"/>
      <c r="G244" s="21"/>
      <c r="H244" s="31"/>
      <c r="I244" s="31"/>
      <c r="J244" s="31"/>
      <c r="K244" s="31"/>
      <c r="L244" s="31"/>
      <c r="M244" s="39"/>
      <c r="N244" s="39"/>
      <c r="O244" s="39"/>
      <c r="P244" s="39"/>
      <c r="Q244" s="39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142</v>
      </c>
      <c r="B245" s="93"/>
      <c r="C245" s="93"/>
      <c r="D245" s="93"/>
      <c r="E245" s="93"/>
      <c r="F245" s="94"/>
      <c r="G245" s="21"/>
      <c r="H245" s="31"/>
      <c r="I245" s="31"/>
      <c r="J245" s="31"/>
      <c r="K245" s="31"/>
      <c r="L245" s="31"/>
      <c r="M245" s="39"/>
      <c r="N245" s="39"/>
      <c r="O245" s="39"/>
      <c r="P245" s="39"/>
      <c r="Q245" s="39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143</v>
      </c>
      <c r="B246" s="93"/>
      <c r="C246" s="93"/>
      <c r="D246" s="93"/>
      <c r="E246" s="93"/>
      <c r="F246" s="94"/>
      <c r="G246" s="21"/>
      <c r="H246" s="31"/>
      <c r="I246" s="31"/>
      <c r="J246" s="31"/>
      <c r="K246" s="31"/>
      <c r="L246" s="31"/>
      <c r="M246" s="39"/>
      <c r="N246" s="39"/>
      <c r="O246" s="39"/>
      <c r="P246" s="39"/>
      <c r="Q246" s="39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144</v>
      </c>
      <c r="B247" s="93"/>
      <c r="C247" s="93"/>
      <c r="D247" s="93"/>
      <c r="E247" s="93"/>
      <c r="F247" s="94"/>
      <c r="G247" s="21"/>
      <c r="H247" s="31"/>
      <c r="I247" s="31"/>
      <c r="J247" s="31"/>
      <c r="K247" s="31"/>
      <c r="L247" s="31"/>
      <c r="M247" s="39"/>
      <c r="N247" s="39"/>
      <c r="O247" s="39"/>
      <c r="P247" s="39"/>
      <c r="Q247" s="39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145</v>
      </c>
      <c r="B248" s="93"/>
      <c r="C248" s="93"/>
      <c r="D248" s="93"/>
      <c r="E248" s="93"/>
      <c r="F248" s="94"/>
      <c r="G248" s="21"/>
      <c r="H248" s="31"/>
      <c r="I248" s="31"/>
      <c r="J248" s="31"/>
      <c r="K248" s="31"/>
      <c r="L248" s="31"/>
      <c r="M248" s="39"/>
      <c r="N248" s="39"/>
      <c r="O248" s="39"/>
      <c r="P248" s="39"/>
      <c r="Q248" s="39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146</v>
      </c>
      <c r="B249" s="93"/>
      <c r="C249" s="93"/>
      <c r="D249" s="93"/>
      <c r="E249" s="93"/>
      <c r="F249" s="94"/>
      <c r="G249" s="21"/>
      <c r="H249" s="31"/>
      <c r="I249" s="31"/>
      <c r="J249" s="31"/>
      <c r="K249" s="31"/>
      <c r="L249" s="31"/>
      <c r="M249" s="39"/>
      <c r="N249" s="39"/>
      <c r="O249" s="39"/>
      <c r="P249" s="39"/>
      <c r="Q249" s="39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147</v>
      </c>
      <c r="B250" s="93"/>
      <c r="C250" s="93"/>
      <c r="D250" s="93"/>
      <c r="E250" s="93"/>
      <c r="F250" s="94"/>
      <c r="G250" s="21"/>
      <c r="H250" s="31"/>
      <c r="I250" s="31"/>
      <c r="J250" s="31"/>
      <c r="K250" s="31"/>
      <c r="L250" s="31"/>
      <c r="M250" s="39"/>
      <c r="N250" s="39"/>
      <c r="O250" s="39"/>
      <c r="P250" s="39"/>
      <c r="Q250" s="39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148</v>
      </c>
      <c r="B251" s="93"/>
      <c r="C251" s="93"/>
      <c r="D251" s="93"/>
      <c r="E251" s="93"/>
      <c r="F251" s="94"/>
      <c r="G251" s="21"/>
      <c r="H251" s="31"/>
      <c r="I251" s="31"/>
      <c r="J251" s="31"/>
      <c r="K251" s="31"/>
      <c r="L251" s="31"/>
      <c r="M251" s="39"/>
      <c r="N251" s="39"/>
      <c r="O251" s="39"/>
      <c r="P251" s="39"/>
      <c r="Q251" s="39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149</v>
      </c>
      <c r="B252" s="93"/>
      <c r="C252" s="93"/>
      <c r="D252" s="93"/>
      <c r="E252" s="93"/>
      <c r="F252" s="94"/>
      <c r="G252" s="21"/>
      <c r="H252" s="31"/>
      <c r="I252" s="31"/>
      <c r="J252" s="31"/>
      <c r="K252" s="31"/>
      <c r="L252" s="31"/>
      <c r="M252" s="39"/>
      <c r="N252" s="39"/>
      <c r="O252" s="39"/>
      <c r="P252" s="39"/>
      <c r="Q252" s="39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150</v>
      </c>
      <c r="B253" s="93"/>
      <c r="C253" s="93"/>
      <c r="D253" s="93"/>
      <c r="E253" s="93"/>
      <c r="F253" s="94"/>
      <c r="G253" s="21"/>
      <c r="H253" s="31"/>
      <c r="I253" s="31"/>
      <c r="J253" s="31"/>
      <c r="K253" s="31"/>
      <c r="L253" s="31"/>
      <c r="M253" s="39"/>
      <c r="N253" s="39"/>
      <c r="O253" s="39"/>
      <c r="P253" s="39"/>
      <c r="Q253" s="39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151</v>
      </c>
      <c r="B254" s="93"/>
      <c r="C254" s="93"/>
      <c r="D254" s="93"/>
      <c r="E254" s="93"/>
      <c r="F254" s="94"/>
      <c r="G254" s="21"/>
      <c r="H254" s="31"/>
      <c r="I254" s="31"/>
      <c r="J254" s="31"/>
      <c r="K254" s="31"/>
      <c r="L254" s="31"/>
      <c r="M254" s="39"/>
      <c r="N254" s="39"/>
      <c r="O254" s="39"/>
      <c r="P254" s="39"/>
      <c r="Q254" s="39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152</v>
      </c>
      <c r="B255" s="93"/>
      <c r="C255" s="93"/>
      <c r="D255" s="93"/>
      <c r="E255" s="93"/>
      <c r="F255" s="94"/>
      <c r="G255" s="21"/>
      <c r="H255" s="31"/>
      <c r="I255" s="31"/>
      <c r="J255" s="31"/>
      <c r="K255" s="31"/>
      <c r="L255" s="31"/>
      <c r="M255" s="39"/>
      <c r="N255" s="39"/>
      <c r="O255" s="39"/>
      <c r="P255" s="39"/>
      <c r="Q255" s="39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153</v>
      </c>
      <c r="B256" s="93"/>
      <c r="C256" s="93"/>
      <c r="D256" s="93"/>
      <c r="E256" s="93"/>
      <c r="F256" s="94"/>
      <c r="G256" s="21"/>
      <c r="H256" s="31"/>
      <c r="I256" s="31"/>
      <c r="J256" s="31"/>
      <c r="K256" s="31"/>
      <c r="L256" s="31"/>
      <c r="M256" s="39"/>
      <c r="N256" s="39"/>
      <c r="O256" s="39"/>
      <c r="P256" s="39"/>
      <c r="Q256" s="39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154</v>
      </c>
      <c r="B257" s="93"/>
      <c r="C257" s="93"/>
      <c r="D257" s="93"/>
      <c r="E257" s="93"/>
      <c r="F257" s="94"/>
      <c r="G257" s="21"/>
      <c r="H257" s="31"/>
      <c r="I257" s="31"/>
      <c r="J257" s="31"/>
      <c r="K257" s="31"/>
      <c r="L257" s="31"/>
      <c r="M257" s="39"/>
      <c r="N257" s="39"/>
      <c r="O257" s="39"/>
      <c r="P257" s="39"/>
      <c r="Q257" s="39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155</v>
      </c>
      <c r="B258" s="93"/>
      <c r="C258" s="93"/>
      <c r="D258" s="93"/>
      <c r="E258" s="93"/>
      <c r="F258" s="94"/>
      <c r="G258" s="21"/>
      <c r="H258" s="31"/>
      <c r="I258" s="31"/>
      <c r="J258" s="31"/>
      <c r="K258" s="31"/>
      <c r="L258" s="31"/>
      <c r="M258" s="39"/>
      <c r="N258" s="39"/>
      <c r="O258" s="39"/>
      <c r="P258" s="39"/>
      <c r="Q258" s="39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ht="14.25" x14ac:dyDescent="0.2">
      <c r="A259" s="92" t="s">
        <v>156</v>
      </c>
      <c r="B259" s="93"/>
      <c r="C259" s="93"/>
      <c r="D259" s="93"/>
      <c r="E259" s="93"/>
      <c r="F259" s="94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157</v>
      </c>
      <c r="B260" s="93"/>
      <c r="C260" s="93"/>
      <c r="D260" s="93"/>
      <c r="E260" s="93"/>
      <c r="F260" s="94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158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159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160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161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162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163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164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165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166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167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168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169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170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171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172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173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174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175</v>
      </c>
      <c r="B278" s="93"/>
      <c r="C278" s="93"/>
      <c r="D278" s="93"/>
      <c r="E278" s="93"/>
      <c r="F278" s="94"/>
      <c r="G278" s="68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4.2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4.2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4.2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4.2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4.2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4.2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4.2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4.2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4.2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4.2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4.2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4.2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4.2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4.2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4.2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4.2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4.2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4.2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4.2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4.2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4.2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4.2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4.2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4.2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4.2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4.2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4.2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4.2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4.2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4.2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4.2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4.2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4.2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4.2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4.2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4.2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4.2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4.2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4.2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4.2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4.2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4.2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4.2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4.2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4.2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4.2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4.2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4.2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4.2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4.2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4.2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4.2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4.2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4.2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4.2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4.2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4.2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4.2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4.2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4.2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4.2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4.2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4.2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4.2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4.2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4.2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4.2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4.2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4.2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4.2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4.2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4.2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4.2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4.2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4.2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4.2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4.2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4.2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4.2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4.2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4.2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4.2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4.2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4.2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4.2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4.2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4.2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4.2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4.2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4.2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4.2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4.2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4.2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4.2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4.2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4.2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4.2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4.2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4.2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4.2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4.2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4.2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4.2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4.2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4.2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4.2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4.2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4.2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4.2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4.2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4.2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4.2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4.2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4.2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4.2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4.2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4.2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4.2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4.2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4.2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4.2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4.2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4.2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4.2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4.2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4.2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4.2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4.2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4.2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4.2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4.2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4.2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4.2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4.2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4.2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4.2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4.2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4.2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4.2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4.2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4.2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4.2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4.2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4.2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4.2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4.2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4.2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4.2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4.2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4.2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4.2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4.2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4.2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4.2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4.2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4.2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4.2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4.2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4.2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4.2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4.2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4.2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4.2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4.2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4.2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4.2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4.2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4.2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4.2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4.2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4.2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4.2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4.2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4.2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4.2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4.2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4.2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4.2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4.2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4.2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4.2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4.2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4.2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4.2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4.2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4.2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4.2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4.2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4.2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4.2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4.2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4.2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4.2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4.2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4.2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4.2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4.2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4.2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4.2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4.2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4.2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4.2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4.2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4.2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4.2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4.2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4.2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4.2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4.2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4.2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4.2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4.2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4.2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4.2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4.2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4.2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4.2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4.2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4.2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4.2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4.2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4.2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4.2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4.2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4.2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4.2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4.2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4.2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4.2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4.2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4.2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4.2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4.2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4.2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4.2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4.2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4.2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4.2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4.2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4.2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4.2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4.2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4.2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4.2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4.2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4.2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4.2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4.2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4.2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4.2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4.2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4.2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4.2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4.2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4.2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4.2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4.2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4.2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4.2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4.2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4.2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4.2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4.2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4.2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4.2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4.2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4.2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4.2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4.2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4.2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4.2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4.2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4.2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4.2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4.2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4.2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4.2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4.2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4.2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4.2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4.2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4.2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4.2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4.2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4.2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4.2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4.2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4.2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4.2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4.2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4.2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4.2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4.2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4.2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4.2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4.2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4.2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4.2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4.2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4.2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4.2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4.2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4.2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4.2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4.2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4.2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4.2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4.2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4.2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4.2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4.2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4.2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4.2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4.2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4.2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4.2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4.2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4.2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4.2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4.2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4.2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4.2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4.2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4.2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4.2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4.2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4.2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4.2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4.2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4.2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4.2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4.2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4.2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4.2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4.2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4.2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4.2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4.2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4.2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4.2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4.2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4.2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4.2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4.2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4.2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4.2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4.2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4.2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4.2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4.2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4.2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4.2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4.2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4.2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4.2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4.2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4.2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4.2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4.2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4.2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4.2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4.2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4.2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4.2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4.2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4.2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4.2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4.2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4.2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4.2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4.2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4.2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4.2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4.2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4.2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4.2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4.2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4.2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4.2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4.2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4.2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4.2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4.2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4.2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4.2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4.2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4.2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4.2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4.2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4.2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4.2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4.2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4.2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4.2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4.2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4.2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4.2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4.2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4.2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4.2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4.2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4.2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4.2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4.2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4.2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4.2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4.2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4.2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4.2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4.2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4.2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4.2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4.2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4.2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4.2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4.2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4.2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4.2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4.2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4.2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4.2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4.2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4.2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4.2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4.2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4.2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4.2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4.2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4.2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4.2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4.2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4.2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4.2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4.2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4.2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4.2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4.2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4.2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4.2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4.2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4.2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4.2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4.2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4.2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4.2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4.2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4.2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4.2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4.2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4.2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4.2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4.2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4.2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4.2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4.2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4.2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4.2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4.2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4.2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4.2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4.2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4.2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4.2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4.2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4.2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4.2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4.2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4.2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4.2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4.2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4.2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4.2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4.2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4.2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4.2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4.2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4.2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4.2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4.2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4.2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4.2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4.2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4.2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4.2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4.2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4.2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4.2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4.2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4.2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4.2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4.2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4.2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4.2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4.2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4.2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4.2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4.2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4.2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4.2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4.2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4.2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4.2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4.2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4.2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4.2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4.2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4.2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4.2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4.2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4.2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4.2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4.2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4.2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4.2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4.2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4.2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4.2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4.2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4.2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4.2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4.2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4.2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4.2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4.2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4.2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4.2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4.2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4.2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4.2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4.2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4.2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4.2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4.2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4.2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4.2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4.2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4.2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4.2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4.2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4.2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4.2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4.2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4.2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4.2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4.2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4.2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4.2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4.2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4.2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4.2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4.2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4.2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4.2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4.2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4.2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4.2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4.2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4.2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4.2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4.2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4.2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4.2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4.2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4.2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4.2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4.2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4.2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4.2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4.2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4.2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4.2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4.2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4.2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4.2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4.2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4.2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4.2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4.2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4.2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4.2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4.2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4.2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4.2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4.2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4.2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4.2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4.2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4.2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4.2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4.2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4.2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4.2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4.2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4.2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4.2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4.2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4.2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4.2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4.2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4.2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4.2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4.2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4.2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4.2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4.2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4.2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4.2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4.2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4.2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4.2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4.2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4.2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4.2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4.2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4.2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4.2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4.2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4.2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4.2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4.2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4.2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4.2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4.2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4.2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4.2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4.2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4.2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4.2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4.2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4.2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4.2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4.2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4.2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4.2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4.2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4.2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4.2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4.2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4.2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4.2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4.2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4.2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4.2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4.2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4.2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4.2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4.2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4.2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4.2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4.2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4.2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4.2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4.2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4.2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4.2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4.2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4.2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4.2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4.2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4.2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4.2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4.2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4.2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4.2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4.2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4.2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4.2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4.2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4.2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4.2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4.2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4.2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4.2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4.2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4.2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4.2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4.2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4.2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4.2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4.2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4.2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4.2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4.2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4.2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4.2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4.2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4.2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4.2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4.2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4.2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4.2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4.2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4.2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4.2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4.2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4.2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4.2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4.2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4.2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4.2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4.2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4.2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4.2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4.2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4.2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4.2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4.2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4.2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4.2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4.2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4.2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4.2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4.2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4.2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4.2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4.2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4.2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spans="1:30" ht="14.2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  <row r="1006" spans="1:30" ht="14.25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</row>
    <row r="1007" spans="1:30" ht="14.25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</row>
    <row r="1008" spans="1:30" ht="14.25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</row>
    <row r="1009" spans="1:30" ht="14.25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</row>
    <row r="1010" spans="1:30" ht="14.25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</row>
    <row r="1011" spans="1:30" ht="14.25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</row>
    <row r="1012" spans="1:30" ht="14.25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</row>
    <row r="1013" spans="1:30" ht="14.25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</row>
    <row r="1014" spans="1:30" ht="14.25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</row>
    <row r="1015" spans="1:30" ht="14.25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</row>
    <row r="1016" spans="1:30" ht="14.25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</row>
    <row r="1017" spans="1:30" ht="14.25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</row>
    <row r="1018" spans="1:30" ht="14.25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</row>
    <row r="1019" spans="1:30" ht="14.25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</row>
    <row r="1020" spans="1:30" ht="14.25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</row>
    <row r="1021" spans="1:30" ht="14.25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</row>
    <row r="1022" spans="1:30" ht="14.25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</row>
    <row r="1023" spans="1:30" ht="14.25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</row>
    <row r="1024" spans="1:30" ht="14.25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</row>
    <row r="1025" spans="1:30" ht="14.25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</row>
    <row r="1026" spans="1:30" ht="14.25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</row>
    <row r="1027" spans="1:30" ht="14.25" x14ac:dyDescent="0.2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</row>
    <row r="1028" spans="1:30" ht="14.25" x14ac:dyDescent="0.2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</row>
    <row r="1029" spans="1:30" ht="14.25" x14ac:dyDescent="0.2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</row>
    <row r="1030" spans="1:30" ht="14.25" x14ac:dyDescent="0.2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</row>
    <row r="1031" spans="1:30" ht="14.25" x14ac:dyDescent="0.2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</row>
    <row r="1032" spans="1:30" ht="14.25" x14ac:dyDescent="0.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</row>
    <row r="1033" spans="1:30" ht="14.25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</row>
    <row r="1034" spans="1:30" ht="14.25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</row>
    <row r="1035" spans="1:30" ht="14.25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</row>
    <row r="1036" spans="1:30" ht="14.25" x14ac:dyDescent="0.2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</row>
    <row r="1037" spans="1:30" ht="14.25" x14ac:dyDescent="0.2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</row>
    <row r="1038" spans="1:30" ht="14.25" x14ac:dyDescent="0.2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</row>
    <row r="1039" spans="1:30" ht="14.25" x14ac:dyDescent="0.2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</row>
    <row r="1040" spans="1:30" ht="14.25" x14ac:dyDescent="0.2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</row>
    <row r="1041" spans="1:30" ht="14.25" x14ac:dyDescent="0.2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</row>
    <row r="1042" spans="1:30" ht="14.25" x14ac:dyDescent="0.2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</row>
    <row r="1043" spans="1:30" ht="14.25" x14ac:dyDescent="0.2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</row>
    <row r="1044" spans="1:30" ht="14.25" x14ac:dyDescent="0.2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</row>
    <row r="1045" spans="1:30" ht="14.25" x14ac:dyDescent="0.2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</row>
    <row r="1046" spans="1:30" ht="14.25" x14ac:dyDescent="0.2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</row>
    <row r="1047" spans="1:30" ht="14.25" x14ac:dyDescent="0.2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</row>
    <row r="1048" spans="1:30" ht="14.25" x14ac:dyDescent="0.2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</row>
    <row r="1049" spans="1:30" ht="14.25" x14ac:dyDescent="0.2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</row>
    <row r="1050" spans="1:30" ht="14.25" x14ac:dyDescent="0.2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</row>
    <row r="1051" spans="1:30" ht="14.25" x14ac:dyDescent="0.2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</row>
    <row r="1052" spans="1:30" ht="14.25" x14ac:dyDescent="0.2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</row>
    <row r="1053" spans="1:30" ht="14.25" x14ac:dyDescent="0.2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</row>
    <row r="1054" spans="1:30" ht="14.25" x14ac:dyDescent="0.2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</row>
    <row r="1055" spans="1:30" ht="14.25" x14ac:dyDescent="0.2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</row>
    <row r="1056" spans="1:30" ht="14.25" x14ac:dyDescent="0.2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</row>
    <row r="1057" spans="1:30" ht="14.25" x14ac:dyDescent="0.2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</row>
    <row r="1058" spans="1:30" ht="14.25" x14ac:dyDescent="0.2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</row>
    <row r="1059" spans="1:30" ht="14.25" x14ac:dyDescent="0.2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</row>
    <row r="1060" spans="1:30" ht="14.25" x14ac:dyDescent="0.2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</row>
    <row r="1061" spans="1:30" ht="14.25" x14ac:dyDescent="0.2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</row>
    <row r="1062" spans="1:30" ht="14.25" x14ac:dyDescent="0.2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</row>
    <row r="1063" spans="1:30" ht="14.25" x14ac:dyDescent="0.2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</row>
    <row r="1064" spans="1:30" ht="14.25" x14ac:dyDescent="0.2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</row>
    <row r="1065" spans="1:30" ht="14.25" x14ac:dyDescent="0.2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</row>
    <row r="1066" spans="1:30" ht="14.25" x14ac:dyDescent="0.2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</row>
    <row r="1067" spans="1:30" ht="14.25" x14ac:dyDescent="0.2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</row>
    <row r="1068" spans="1:30" ht="14.25" x14ac:dyDescent="0.2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</row>
    <row r="1069" spans="1:30" ht="14.25" x14ac:dyDescent="0.2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</row>
    <row r="1070" spans="1:30" ht="14.25" x14ac:dyDescent="0.2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</row>
    <row r="1071" spans="1:30" ht="14.25" x14ac:dyDescent="0.2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</row>
    <row r="1072" spans="1:30" ht="14.25" x14ac:dyDescent="0.2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</row>
    <row r="1073" spans="1:30" ht="14.25" x14ac:dyDescent="0.2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</row>
    <row r="1074" spans="1:30" ht="14.25" x14ac:dyDescent="0.2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</row>
    <row r="1075" spans="1:30" ht="14.25" x14ac:dyDescent="0.2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</row>
    <row r="1076" spans="1:30" ht="14.25" x14ac:dyDescent="0.2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</row>
    <row r="1077" spans="1:30" ht="14.25" x14ac:dyDescent="0.2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</row>
    <row r="1078" spans="1:30" ht="14.25" x14ac:dyDescent="0.2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</row>
    <row r="1079" spans="1:30" ht="14.25" x14ac:dyDescent="0.2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</row>
    <row r="1080" spans="1:30" ht="14.25" x14ac:dyDescent="0.2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</row>
    <row r="1081" spans="1:30" ht="14.25" x14ac:dyDescent="0.2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</row>
    <row r="1082" spans="1:30" ht="14.25" x14ac:dyDescent="0.2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</row>
    <row r="1083" spans="1:30" ht="14.25" x14ac:dyDescent="0.2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</row>
    <row r="1084" spans="1:30" ht="14.25" x14ac:dyDescent="0.2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</row>
    <row r="1085" spans="1:30" ht="14.25" x14ac:dyDescent="0.2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</row>
    <row r="1086" spans="1:30" ht="14.25" x14ac:dyDescent="0.2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</row>
    <row r="1087" spans="1:30" ht="14.25" x14ac:dyDescent="0.2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</row>
    <row r="1088" spans="1:30" ht="14.25" x14ac:dyDescent="0.2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</row>
    <row r="1089" spans="1:30" ht="14.25" x14ac:dyDescent="0.2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</row>
    <row r="1090" spans="1:30" ht="14.25" x14ac:dyDescent="0.2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</row>
    <row r="1091" spans="1:30" ht="14.25" x14ac:dyDescent="0.2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</row>
    <row r="1092" spans="1:30" ht="14.25" x14ac:dyDescent="0.2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</row>
    <row r="1093" spans="1:30" ht="14.25" x14ac:dyDescent="0.2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</row>
    <row r="1094" spans="1:30" ht="14.25" x14ac:dyDescent="0.2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</row>
    <row r="1095" spans="1:30" ht="14.25" x14ac:dyDescent="0.2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</row>
    <row r="1096" spans="1:30" ht="14.25" x14ac:dyDescent="0.2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</row>
    <row r="1097" spans="1:30" ht="14.25" x14ac:dyDescent="0.2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</row>
    <row r="1098" spans="1:30" ht="14.25" x14ac:dyDescent="0.2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</row>
  </sheetData>
  <mergeCells count="76">
    <mergeCell ref="A243:F243"/>
    <mergeCell ref="A244:F244"/>
    <mergeCell ref="A236:F236"/>
    <mergeCell ref="A237:F237"/>
    <mergeCell ref="A238:F238"/>
    <mergeCell ref="A239:F239"/>
    <mergeCell ref="A240:F240"/>
    <mergeCell ref="A233:F233"/>
    <mergeCell ref="A234:F234"/>
    <mergeCell ref="A235:F235"/>
    <mergeCell ref="A241:F241"/>
    <mergeCell ref="A242:F242"/>
    <mergeCell ref="A228:F228"/>
    <mergeCell ref="A229:F229"/>
    <mergeCell ref="A230:F230"/>
    <mergeCell ref="A231:F231"/>
    <mergeCell ref="A232:F232"/>
    <mergeCell ref="A223:F223"/>
    <mergeCell ref="A224:F224"/>
    <mergeCell ref="A225:F225"/>
    <mergeCell ref="A226:F226"/>
    <mergeCell ref="A227:F227"/>
    <mergeCell ref="A218:F218"/>
    <mergeCell ref="A219:F219"/>
    <mergeCell ref="A220:F220"/>
    <mergeCell ref="A221:F221"/>
    <mergeCell ref="A222:F222"/>
    <mergeCell ref="A213:F213"/>
    <mergeCell ref="A214:F214"/>
    <mergeCell ref="A215:F215"/>
    <mergeCell ref="A216:F216"/>
    <mergeCell ref="A217:F217"/>
    <mergeCell ref="A41:I41"/>
    <mergeCell ref="A92:I92"/>
    <mergeCell ref="A210:F210"/>
    <mergeCell ref="A211:F211"/>
    <mergeCell ref="A212:F212"/>
    <mergeCell ref="A1:J1"/>
    <mergeCell ref="A2:J2"/>
    <mergeCell ref="A3:J3"/>
    <mergeCell ref="B4:J4"/>
    <mergeCell ref="A5:J5"/>
    <mergeCell ref="A277:F277"/>
    <mergeCell ref="A278:F278"/>
    <mergeCell ref="A266:F266"/>
    <mergeCell ref="A267:F267"/>
    <mergeCell ref="A268:F268"/>
    <mergeCell ref="A269:F269"/>
    <mergeCell ref="A270:F270"/>
    <mergeCell ref="A271:F271"/>
    <mergeCell ref="A272:F272"/>
    <mergeCell ref="A265:F265"/>
    <mergeCell ref="A273:F273"/>
    <mergeCell ref="A274:F274"/>
    <mergeCell ref="A275:F275"/>
    <mergeCell ref="A276:F276"/>
    <mergeCell ref="A260:F260"/>
    <mergeCell ref="A261:F261"/>
    <mergeCell ref="A262:F262"/>
    <mergeCell ref="A263:F263"/>
    <mergeCell ref="A264:F264"/>
    <mergeCell ref="A255:F255"/>
    <mergeCell ref="A256:F256"/>
    <mergeCell ref="A257:F257"/>
    <mergeCell ref="A258:F258"/>
    <mergeCell ref="A259:F259"/>
    <mergeCell ref="A250:F250"/>
    <mergeCell ref="A251:F251"/>
    <mergeCell ref="A252:F252"/>
    <mergeCell ref="A253:F253"/>
    <mergeCell ref="A254:F254"/>
    <mergeCell ref="A245:F245"/>
    <mergeCell ref="A246:F246"/>
    <mergeCell ref="A247:F247"/>
    <mergeCell ref="A248:F248"/>
    <mergeCell ref="A249:F249"/>
  </mergeCells>
  <dataValidations disablePrompts="1" count="4">
    <dataValidation type="list" allowBlank="1" sqref="B7:B26">
      <formula1>"DAS,DAS-1,DAS-2,DAS-3,DAS-4,DAS-5,CAA-1,CAA-2,CAA-3,CAA-4,CAA-5"</formula1>
    </dataValidation>
    <dataValidation type="list" allowBlank="1" sqref="B43:B83">
      <formula1>"FDA,FDA-1,FDA-2,FDA-3,FDA-4"</formula1>
    </dataValidation>
    <dataValidation type="list" allowBlank="1" sqref="D7:D26 D43:D83 D94:D197">
      <formula1>"AGP,CLH,CLT,COM,CTD,CTI,DES,DISP,ELE,ESG,EST,EXM,EXQ,EXR,FRQ,REV,VAGO"</formula1>
    </dataValidation>
    <dataValidation type="list" allowBlank="1" sqref="B94:B197">
      <formula1>"FGS-1,FGS-2,FGS-3,FGA-1,FGA-2,FGA-3"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9"/>
  <sheetViews>
    <sheetView zoomScale="70" zoomScaleNormal="70" workbookViewId="0">
      <selection activeCell="A30" sqref="A30"/>
    </sheetView>
  </sheetViews>
  <sheetFormatPr defaultColWidth="12.625" defaultRowHeight="15" customHeight="1" x14ac:dyDescent="0.2"/>
  <cols>
    <col min="1" max="1" width="69.75" style="85" bestFit="1" customWidth="1"/>
    <col min="2" max="2" width="9.75" style="85" bestFit="1" customWidth="1"/>
    <col min="3" max="3" width="24" style="85" bestFit="1" customWidth="1"/>
    <col min="4" max="4" width="12.25" style="85" bestFit="1" customWidth="1"/>
    <col min="5" max="5" width="9.25" style="85" bestFit="1" customWidth="1"/>
    <col min="6" max="6" width="44.125" style="85" bestFit="1" customWidth="1"/>
    <col min="7" max="7" width="17.5" style="85" bestFit="1" customWidth="1"/>
    <col min="8" max="8" width="17.875" style="85" bestFit="1" customWidth="1"/>
    <col min="9" max="9" width="17.875" style="85" customWidth="1"/>
    <col min="10" max="10" width="15" style="85" customWidth="1"/>
    <col min="11" max="16" width="8" style="85" customWidth="1"/>
    <col min="17" max="17" width="43.875" style="85" customWidth="1"/>
    <col min="18" max="30" width="8" style="85" customWidth="1"/>
    <col min="31" max="16384" width="12.625" style="85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512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2" t="s">
        <v>182</v>
      </c>
      <c r="B8" s="57" t="s">
        <v>41</v>
      </c>
      <c r="C8" s="57" t="s">
        <v>178</v>
      </c>
      <c r="D8" s="57" t="s">
        <v>183</v>
      </c>
      <c r="E8" s="46">
        <v>1</v>
      </c>
      <c r="F8" s="47" t="s">
        <v>183</v>
      </c>
      <c r="G8" s="44">
        <v>0</v>
      </c>
      <c r="H8" s="44">
        <v>0</v>
      </c>
      <c r="I8" s="44">
        <v>0</v>
      </c>
      <c r="J8" s="45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7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184</v>
      </c>
      <c r="B11" s="57" t="s">
        <v>43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185</v>
      </c>
      <c r="B12" s="57" t="s">
        <v>33</v>
      </c>
      <c r="C12" s="57" t="s">
        <v>178</v>
      </c>
      <c r="D12" s="73" t="s">
        <v>199</v>
      </c>
      <c r="E12" s="46">
        <v>1</v>
      </c>
      <c r="F12" s="47" t="s">
        <v>436</v>
      </c>
      <c r="G12" s="44">
        <v>0</v>
      </c>
      <c r="H12" s="44">
        <v>809.06</v>
      </c>
      <c r="I12" s="44">
        <v>4316.21</v>
      </c>
      <c r="J12" s="45">
        <f t="shared" si="0"/>
        <v>5125.2700000000004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186</v>
      </c>
      <c r="B13" s="57" t="s">
        <v>39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187</v>
      </c>
      <c r="B14" s="57" t="s">
        <v>37</v>
      </c>
      <c r="C14" s="57" t="s">
        <v>178</v>
      </c>
      <c r="D14" s="57" t="s">
        <v>188</v>
      </c>
      <c r="E14" s="46">
        <v>1</v>
      </c>
      <c r="F14" s="47" t="s">
        <v>213</v>
      </c>
      <c r="G14" s="44">
        <v>0</v>
      </c>
      <c r="H14" s="44">
        <v>0</v>
      </c>
      <c r="I14" s="44">
        <v>3083.01</v>
      </c>
      <c r="J14" s="45">
        <f t="shared" si="0"/>
        <v>3083.01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189</v>
      </c>
      <c r="B15" s="57" t="s">
        <v>39</v>
      </c>
      <c r="C15" s="57" t="s">
        <v>190</v>
      </c>
      <c r="D15" s="57" t="s">
        <v>183</v>
      </c>
      <c r="E15" s="46">
        <v>1</v>
      </c>
      <c r="F15" s="47" t="s">
        <v>183</v>
      </c>
      <c r="G15" s="44">
        <v>0</v>
      </c>
      <c r="H15" s="44">
        <v>0</v>
      </c>
      <c r="I15" s="44">
        <v>0</v>
      </c>
      <c r="J15" s="45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191</v>
      </c>
      <c r="B16" s="57" t="s">
        <v>25</v>
      </c>
      <c r="C16" s="57" t="s">
        <v>192</v>
      </c>
      <c r="D16" s="57" t="s">
        <v>181</v>
      </c>
      <c r="E16" s="46">
        <v>1</v>
      </c>
      <c r="F16" s="47" t="s">
        <v>214</v>
      </c>
      <c r="G16" s="44">
        <v>0</v>
      </c>
      <c r="H16" s="44">
        <v>0</v>
      </c>
      <c r="I16" s="44">
        <v>10400</v>
      </c>
      <c r="J16" s="45">
        <f t="shared" si="0"/>
        <v>10400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72" t="s">
        <v>499</v>
      </c>
      <c r="B17" s="57" t="s">
        <v>25</v>
      </c>
      <c r="C17" s="73" t="s">
        <v>178</v>
      </c>
      <c r="D17" s="73" t="s">
        <v>199</v>
      </c>
      <c r="E17" s="46">
        <v>1</v>
      </c>
      <c r="F17" s="72" t="s">
        <v>500</v>
      </c>
      <c r="G17" s="44">
        <v>0</v>
      </c>
      <c r="H17" s="44">
        <v>15956.74</v>
      </c>
      <c r="I17" s="44">
        <v>10053.33</v>
      </c>
      <c r="J17" s="45">
        <f t="shared" si="0"/>
        <v>26010.07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73" t="s">
        <v>199</v>
      </c>
      <c r="E19" s="46">
        <v>1</v>
      </c>
      <c r="F19" s="47" t="s">
        <v>431</v>
      </c>
      <c r="G19" s="44">
        <v>0</v>
      </c>
      <c r="H19" s="44">
        <v>1509.2</v>
      </c>
      <c r="I19" s="44">
        <v>4316.21</v>
      </c>
      <c r="J19" s="45">
        <f t="shared" si="0"/>
        <v>5825.41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181</v>
      </c>
      <c r="E21" s="46">
        <v>1</v>
      </c>
      <c r="F21" s="72" t="s">
        <v>497</v>
      </c>
      <c r="G21" s="44">
        <v>0</v>
      </c>
      <c r="H21" s="44">
        <v>0</v>
      </c>
      <c r="I21" s="44">
        <v>3083.01</v>
      </c>
      <c r="J21" s="45">
        <f t="shared" si="0"/>
        <v>3083.01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181</v>
      </c>
      <c r="E22" s="46">
        <v>1</v>
      </c>
      <c r="F22" s="47" t="s">
        <v>498</v>
      </c>
      <c r="G22" s="44">
        <v>0</v>
      </c>
      <c r="H22" s="44">
        <v>0</v>
      </c>
      <c r="I22" s="44">
        <v>4316.21</v>
      </c>
      <c r="J22" s="45">
        <f t="shared" si="0"/>
        <v>4316.21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73" t="s">
        <v>199</v>
      </c>
      <c r="E23" s="46">
        <v>1</v>
      </c>
      <c r="F23" s="72" t="s">
        <v>513</v>
      </c>
      <c r="G23" s="44">
        <v>0</v>
      </c>
      <c r="H23" s="44">
        <v>809.06</v>
      </c>
      <c r="I23" s="44">
        <v>0</v>
      </c>
      <c r="J23" s="45">
        <f t="shared" si="0"/>
        <v>809.06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188</v>
      </c>
      <c r="E26" s="46">
        <v>1</v>
      </c>
      <c r="F26" s="72" t="s">
        <v>501</v>
      </c>
      <c r="G26" s="44">
        <v>0</v>
      </c>
      <c r="H26" s="44">
        <v>1266.5999999999999</v>
      </c>
      <c r="I26" s="44">
        <v>5066.41</v>
      </c>
      <c r="J26" s="45">
        <f t="shared" si="0"/>
        <v>6333.01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2</v>
      </c>
      <c r="D29" s="28">
        <f>SUMIFS($E$7:$E$26,$B$7:$B$26,"DAS-1",$D$7:$D$26,"VAGO")</f>
        <v>0</v>
      </c>
      <c r="E29" s="28">
        <f t="shared" si="1"/>
        <v>2</v>
      </c>
      <c r="F29" s="32"/>
      <c r="G29" s="30">
        <f>SUMIF($B$7:$B$26,"DAS-1",$G$7:$G$26)</f>
        <v>0</v>
      </c>
      <c r="H29" s="30">
        <f>SUMIF($B$7:$B$26,"DAS-1",$H$7:$H$26)</f>
        <v>15956.74</v>
      </c>
      <c r="I29" s="30">
        <f>SUMIF($B$7:$B$26,"DAS-1",$I$7:$I$26)</f>
        <v>20453.330000000002</v>
      </c>
      <c r="J29" s="30">
        <f>SUMIF($B$7:$B$26,"DAS-1",$J$7:$J$26)</f>
        <v>36410.07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0</v>
      </c>
      <c r="D31" s="28">
        <f>SUMIFS($E$7:$E$26,$B$7:$B$26,"DAS-3",$D$7:$D$26,"VAGO")</f>
        <v>0</v>
      </c>
      <c r="E31" s="28">
        <f t="shared" si="1"/>
        <v>0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0</v>
      </c>
      <c r="J31" s="30">
        <f>SUMIF($B$7:$B$26,"DAS-3",$J$7:$J$26)</f>
        <v>0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1</v>
      </c>
      <c r="D32" s="28">
        <f>SUMIFS($E$7:$E$26,$B$7:$B$26,"DAS-4",$D$7:$D$26,"VAGO")</f>
        <v>0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1266.5999999999999</v>
      </c>
      <c r="I32" s="30">
        <f>SUMIF($B$7:$B$26,"DAS-4",$I$7:$I$26)</f>
        <v>5066.41</v>
      </c>
      <c r="J32" s="30">
        <f>SUMIF($B$7:$B$26,"DAS-4",$J$7:$J$26)</f>
        <v>6333.01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5</v>
      </c>
      <c r="D33" s="28">
        <f>SUMIFS($E$7:$E$26,$B$7:$B$26,"DAS-5",$D$7:$D$26,"VAGO")</f>
        <v>0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3427.42</v>
      </c>
      <c r="I33" s="30">
        <f>SUMIF($B$7:$B$26,"DAS-5",$I$7:$I$26)</f>
        <v>21581.05</v>
      </c>
      <c r="J33" s="30">
        <f>SUMIF($B$7:$B$26,"DAS-5",$J$7:$J$26)</f>
        <v>25008.469999999998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4</v>
      </c>
      <c r="D35" s="28">
        <f>SUMIFS($E$7:$E$26,$B$7:$B$26,"CAA-2",$D$7:$D$26,"VAGO")</f>
        <v>1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25741.5</v>
      </c>
      <c r="I35" s="30">
        <f>SUMIF($B$7:$B$26,"CAA-2",$I$7:$I$26)</f>
        <v>9249.0300000000007</v>
      </c>
      <c r="J35" s="30">
        <f>SUMIF($B$7:$B$26,"CAA-2",$J$7:$J$26)</f>
        <v>34990.53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13</v>
      </c>
      <c r="D39" s="35">
        <f>SUM(D28:D38)</f>
        <v>7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46392.26</v>
      </c>
      <c r="I39" s="36">
        <f t="shared" si="2"/>
        <v>56349.82</v>
      </c>
      <c r="J39" s="36">
        <f t="shared" si="2"/>
        <v>120742.08</v>
      </c>
      <c r="K39" s="37"/>
      <c r="L39" s="37"/>
      <c r="M39" s="37"/>
      <c r="N39" s="37"/>
      <c r="O39" s="37"/>
      <c r="P39" s="37"/>
      <c r="Q39" s="37"/>
    </row>
    <row r="40" spans="1:30" ht="45.75" customHeight="1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4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180</v>
      </c>
      <c r="B44" s="42" t="s">
        <v>66</v>
      </c>
      <c r="C44" s="57" t="s">
        <v>178</v>
      </c>
      <c r="D44" s="57" t="s">
        <v>181</v>
      </c>
      <c r="E44" s="46">
        <v>1</v>
      </c>
      <c r="F44" s="72" t="s">
        <v>306</v>
      </c>
      <c r="G44" s="44">
        <v>0</v>
      </c>
      <c r="H44" s="44">
        <v>5688.14</v>
      </c>
      <c r="I44" s="45">
        <f t="shared" si="3"/>
        <v>5688.14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72" t="s">
        <v>222</v>
      </c>
      <c r="B45" s="42" t="s">
        <v>68</v>
      </c>
      <c r="C45" s="57" t="s">
        <v>223</v>
      </c>
      <c r="D45" s="57" t="s">
        <v>199</v>
      </c>
      <c r="E45" s="46">
        <v>1</v>
      </c>
      <c r="F45" s="43" t="s">
        <v>301</v>
      </c>
      <c r="G45" s="44">
        <v>16704.73</v>
      </c>
      <c r="H45" s="44">
        <v>5241.1099999999997</v>
      </c>
      <c r="I45" s="45">
        <f t="shared" si="3"/>
        <v>21945.84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224</v>
      </c>
      <c r="B46" s="42" t="s">
        <v>72</v>
      </c>
      <c r="C46" s="57" t="s">
        <v>225</v>
      </c>
      <c r="D46" s="57" t="s">
        <v>181</v>
      </c>
      <c r="E46" s="46">
        <v>1</v>
      </c>
      <c r="F46" s="47" t="s">
        <v>302</v>
      </c>
      <c r="G46" s="44">
        <v>0</v>
      </c>
      <c r="H46" s="44">
        <v>3083.01</v>
      </c>
      <c r="I46" s="45">
        <f t="shared" si="3"/>
        <v>3083.01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226</v>
      </c>
      <c r="B47" s="42" t="s">
        <v>66</v>
      </c>
      <c r="C47" s="57" t="s">
        <v>227</v>
      </c>
      <c r="D47" s="57" t="s">
        <v>181</v>
      </c>
      <c r="E47" s="46">
        <v>1</v>
      </c>
      <c r="F47" s="47" t="s">
        <v>303</v>
      </c>
      <c r="G47" s="44">
        <v>0</v>
      </c>
      <c r="H47" s="44">
        <v>5703.56</v>
      </c>
      <c r="I47" s="45">
        <f t="shared" si="3"/>
        <v>5703.56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228</v>
      </c>
      <c r="B48" s="42" t="s">
        <v>72</v>
      </c>
      <c r="C48" s="57" t="s">
        <v>229</v>
      </c>
      <c r="D48" s="57" t="s">
        <v>181</v>
      </c>
      <c r="E48" s="46">
        <v>1</v>
      </c>
      <c r="F48" s="47" t="s">
        <v>304</v>
      </c>
      <c r="G48" s="44">
        <v>0</v>
      </c>
      <c r="H48" s="44">
        <v>3083.01</v>
      </c>
      <c r="I48" s="45">
        <f t="shared" si="3"/>
        <v>3083.01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230</v>
      </c>
      <c r="B49" s="42" t="s">
        <v>68</v>
      </c>
      <c r="C49" s="57" t="s">
        <v>231</v>
      </c>
      <c r="D49" s="57" t="s">
        <v>199</v>
      </c>
      <c r="E49" s="46">
        <v>1</v>
      </c>
      <c r="F49" s="47" t="s">
        <v>305</v>
      </c>
      <c r="G49" s="44">
        <v>16704.73</v>
      </c>
      <c r="H49" s="44">
        <v>5241.1099999999997</v>
      </c>
      <c r="I49" s="45">
        <f t="shared" si="3"/>
        <v>21945.84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232</v>
      </c>
      <c r="B50" s="42" t="s">
        <v>68</v>
      </c>
      <c r="C50" s="57" t="s">
        <v>233</v>
      </c>
      <c r="D50" s="57" t="s">
        <v>199</v>
      </c>
      <c r="E50" s="46">
        <v>1</v>
      </c>
      <c r="F50" s="72" t="s">
        <v>494</v>
      </c>
      <c r="G50" s="44">
        <v>1509.2</v>
      </c>
      <c r="H50" s="44">
        <v>5241.1099999999997</v>
      </c>
      <c r="I50" s="45">
        <f t="shared" si="3"/>
        <v>6750.3099999999995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234</v>
      </c>
      <c r="B51" s="42" t="s">
        <v>68</v>
      </c>
      <c r="C51" s="57" t="s">
        <v>223</v>
      </c>
      <c r="D51" s="57" t="s">
        <v>199</v>
      </c>
      <c r="E51" s="46">
        <v>1</v>
      </c>
      <c r="F51" s="47" t="s">
        <v>504</v>
      </c>
      <c r="G51" s="44">
        <v>809.06</v>
      </c>
      <c r="H51" s="44">
        <v>5241.1099999999997</v>
      </c>
      <c r="I51" s="45">
        <f t="shared" si="3"/>
        <v>6050.17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235</v>
      </c>
      <c r="B52" s="42" t="s">
        <v>66</v>
      </c>
      <c r="C52" s="57" t="s">
        <v>236</v>
      </c>
      <c r="D52" s="57" t="s">
        <v>181</v>
      </c>
      <c r="E52" s="46">
        <v>1</v>
      </c>
      <c r="F52" s="47" t="s">
        <v>308</v>
      </c>
      <c r="G52" s="44">
        <v>0</v>
      </c>
      <c r="H52" s="44">
        <v>5703.56</v>
      </c>
      <c r="I52" s="45">
        <f t="shared" si="3"/>
        <v>5703.56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237</v>
      </c>
      <c r="B53" s="42" t="s">
        <v>72</v>
      </c>
      <c r="C53" s="57" t="s">
        <v>238</v>
      </c>
      <c r="D53" s="57" t="s">
        <v>181</v>
      </c>
      <c r="E53" s="46">
        <v>1</v>
      </c>
      <c r="F53" s="47" t="s">
        <v>309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239</v>
      </c>
      <c r="B54" s="42" t="s">
        <v>72</v>
      </c>
      <c r="C54" s="57" t="s">
        <v>240</v>
      </c>
      <c r="D54" s="57" t="s">
        <v>181</v>
      </c>
      <c r="E54" s="46">
        <v>1</v>
      </c>
      <c r="F54" s="47" t="s">
        <v>310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241</v>
      </c>
      <c r="B55" s="42" t="s">
        <v>72</v>
      </c>
      <c r="C55" s="57" t="s">
        <v>242</v>
      </c>
      <c r="D55" s="57" t="s">
        <v>181</v>
      </c>
      <c r="E55" s="46">
        <v>1</v>
      </c>
      <c r="F55" s="47" t="s">
        <v>311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243</v>
      </c>
      <c r="B56" s="42" t="s">
        <v>72</v>
      </c>
      <c r="C56" s="57" t="s">
        <v>244</v>
      </c>
      <c r="D56" s="57" t="s">
        <v>181</v>
      </c>
      <c r="E56" s="46">
        <v>1</v>
      </c>
      <c r="F56" s="47" t="s">
        <v>312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245</v>
      </c>
      <c r="B57" s="42" t="s">
        <v>72</v>
      </c>
      <c r="C57" s="57" t="s">
        <v>246</v>
      </c>
      <c r="D57" s="57" t="s">
        <v>181</v>
      </c>
      <c r="E57" s="46">
        <v>1</v>
      </c>
      <c r="F57" s="47" t="s">
        <v>313</v>
      </c>
      <c r="G57" s="44">
        <v>0</v>
      </c>
      <c r="H57" s="44">
        <v>3083.01</v>
      </c>
      <c r="I57" s="45">
        <f t="shared" si="3"/>
        <v>3083.01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247</v>
      </c>
      <c r="B58" s="42" t="s">
        <v>66</v>
      </c>
      <c r="C58" s="57" t="s">
        <v>248</v>
      </c>
      <c r="D58" s="57" t="s">
        <v>181</v>
      </c>
      <c r="E58" s="46">
        <v>1</v>
      </c>
      <c r="F58" s="76" t="s">
        <v>317</v>
      </c>
      <c r="G58" s="44">
        <v>0</v>
      </c>
      <c r="H58" s="44">
        <v>5703.56</v>
      </c>
      <c r="I58" s="45">
        <f t="shared" si="3"/>
        <v>5703.56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249</v>
      </c>
      <c r="B59" s="42" t="s">
        <v>72</v>
      </c>
      <c r="C59" s="57" t="s">
        <v>250</v>
      </c>
      <c r="D59" s="57" t="s">
        <v>181</v>
      </c>
      <c r="E59" s="46">
        <v>1</v>
      </c>
      <c r="F59" s="47" t="s">
        <v>315</v>
      </c>
      <c r="G59" s="44">
        <v>0</v>
      </c>
      <c r="H59" s="44">
        <v>3083.01</v>
      </c>
      <c r="I59" s="45">
        <f t="shared" si="3"/>
        <v>3083.01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251</v>
      </c>
      <c r="B60" s="42" t="s">
        <v>72</v>
      </c>
      <c r="C60" s="57" t="s">
        <v>252</v>
      </c>
      <c r="D60" s="57" t="s">
        <v>199</v>
      </c>
      <c r="E60" s="46">
        <v>1</v>
      </c>
      <c r="F60" s="47" t="s">
        <v>316</v>
      </c>
      <c r="G60" s="44">
        <v>831.26</v>
      </c>
      <c r="H60" s="44">
        <v>3083.01</v>
      </c>
      <c r="I60" s="45">
        <f t="shared" si="3"/>
        <v>3914.2700000000004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253</v>
      </c>
      <c r="B61" s="42" t="s">
        <v>70</v>
      </c>
      <c r="C61" s="57" t="s">
        <v>254</v>
      </c>
      <c r="D61" s="73" t="s">
        <v>181</v>
      </c>
      <c r="E61" s="46">
        <v>1</v>
      </c>
      <c r="F61" s="72" t="s">
        <v>514</v>
      </c>
      <c r="G61" s="44">
        <v>0</v>
      </c>
      <c r="H61" s="44">
        <v>4316.21</v>
      </c>
      <c r="I61" s="45">
        <f t="shared" si="3"/>
        <v>4316.21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255</v>
      </c>
      <c r="B62" s="42" t="s">
        <v>72</v>
      </c>
      <c r="C62" s="57" t="s">
        <v>256</v>
      </c>
      <c r="D62" s="73" t="s">
        <v>199</v>
      </c>
      <c r="E62" s="46">
        <v>1</v>
      </c>
      <c r="F62" s="72" t="s">
        <v>515</v>
      </c>
      <c r="G62" s="44">
        <v>1509.2</v>
      </c>
      <c r="H62" s="44">
        <v>3083.01</v>
      </c>
      <c r="I62" s="45">
        <f t="shared" si="3"/>
        <v>4592.21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257</v>
      </c>
      <c r="B63" s="42" t="s">
        <v>72</v>
      </c>
      <c r="C63" s="57" t="s">
        <v>258</v>
      </c>
      <c r="D63" s="57" t="s">
        <v>181</v>
      </c>
      <c r="E63" s="46">
        <v>1</v>
      </c>
      <c r="F63" s="47" t="s">
        <v>319</v>
      </c>
      <c r="G63" s="44">
        <v>0</v>
      </c>
      <c r="H63" s="44">
        <v>3083.01</v>
      </c>
      <c r="I63" s="45">
        <f t="shared" si="3"/>
        <v>3083.01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259</v>
      </c>
      <c r="B64" s="42" t="s">
        <v>66</v>
      </c>
      <c r="C64" s="57" t="s">
        <v>260</v>
      </c>
      <c r="D64" s="57" t="s">
        <v>181</v>
      </c>
      <c r="E64" s="46">
        <v>1</v>
      </c>
      <c r="F64" s="47" t="s">
        <v>320</v>
      </c>
      <c r="G64" s="44">
        <v>0</v>
      </c>
      <c r="H64" s="44">
        <v>5703.56</v>
      </c>
      <c r="I64" s="45">
        <f t="shared" si="3"/>
        <v>5703.56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261</v>
      </c>
      <c r="B65" s="42" t="s">
        <v>72</v>
      </c>
      <c r="C65" s="57" t="s">
        <v>262</v>
      </c>
      <c r="D65" s="57" t="s">
        <v>181</v>
      </c>
      <c r="E65" s="46">
        <v>1</v>
      </c>
      <c r="F65" s="47" t="s">
        <v>321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263</v>
      </c>
      <c r="B66" s="42" t="s">
        <v>72</v>
      </c>
      <c r="C66" s="57" t="s">
        <v>264</v>
      </c>
      <c r="D66" s="57" t="s">
        <v>181</v>
      </c>
      <c r="E66" s="46">
        <v>1</v>
      </c>
      <c r="F66" s="47" t="s">
        <v>322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265</v>
      </c>
      <c r="B67" s="42" t="s">
        <v>72</v>
      </c>
      <c r="C67" s="57" t="s">
        <v>266</v>
      </c>
      <c r="D67" s="57" t="s">
        <v>181</v>
      </c>
      <c r="E67" s="46">
        <v>1</v>
      </c>
      <c r="F67" s="47" t="s">
        <v>323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267</v>
      </c>
      <c r="B68" s="42" t="s">
        <v>72</v>
      </c>
      <c r="C68" s="57" t="s">
        <v>268</v>
      </c>
      <c r="D68" s="57" t="s">
        <v>181</v>
      </c>
      <c r="E68" s="46">
        <v>1</v>
      </c>
      <c r="F68" s="47" t="s">
        <v>324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269</v>
      </c>
      <c r="B69" s="42" t="s">
        <v>72</v>
      </c>
      <c r="C69" s="57" t="s">
        <v>270</v>
      </c>
      <c r="D69" s="57" t="s">
        <v>181</v>
      </c>
      <c r="E69" s="46">
        <v>1</v>
      </c>
      <c r="F69" s="47" t="s">
        <v>325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271</v>
      </c>
      <c r="B70" s="42" t="s">
        <v>72</v>
      </c>
      <c r="C70" s="57" t="s">
        <v>272</v>
      </c>
      <c r="D70" s="57" t="s">
        <v>181</v>
      </c>
      <c r="E70" s="46">
        <v>1</v>
      </c>
      <c r="F70" s="47" t="s">
        <v>326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273</v>
      </c>
      <c r="B71" s="42" t="s">
        <v>72</v>
      </c>
      <c r="C71" s="57" t="s">
        <v>274</v>
      </c>
      <c r="D71" s="57" t="s">
        <v>181</v>
      </c>
      <c r="E71" s="46">
        <v>1</v>
      </c>
      <c r="F71" s="47" t="s">
        <v>327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275</v>
      </c>
      <c r="B72" s="42" t="s">
        <v>72</v>
      </c>
      <c r="C72" s="57" t="s">
        <v>260</v>
      </c>
      <c r="D72" s="57" t="s">
        <v>181</v>
      </c>
      <c r="E72" s="46">
        <v>1</v>
      </c>
      <c r="F72" s="47" t="s">
        <v>328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276</v>
      </c>
      <c r="B73" s="42" t="s">
        <v>72</v>
      </c>
      <c r="C73" s="57" t="s">
        <v>277</v>
      </c>
      <c r="D73" s="57" t="s">
        <v>181</v>
      </c>
      <c r="E73" s="46">
        <v>1</v>
      </c>
      <c r="F73" s="47" t="s">
        <v>329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278</v>
      </c>
      <c r="B74" s="42" t="s">
        <v>72</v>
      </c>
      <c r="C74" s="57" t="s">
        <v>279</v>
      </c>
      <c r="D74" s="57" t="s">
        <v>181</v>
      </c>
      <c r="E74" s="46">
        <v>1</v>
      </c>
      <c r="F74" s="47" t="s">
        <v>330</v>
      </c>
      <c r="G74" s="44">
        <v>0</v>
      </c>
      <c r="H74" s="44">
        <v>3083.01</v>
      </c>
      <c r="I74" s="45">
        <f t="shared" si="3"/>
        <v>3083.01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280</v>
      </c>
      <c r="B75" s="42" t="s">
        <v>66</v>
      </c>
      <c r="C75" s="57" t="s">
        <v>281</v>
      </c>
      <c r="D75" s="57" t="s">
        <v>181</v>
      </c>
      <c r="E75" s="46">
        <v>1</v>
      </c>
      <c r="F75" s="47" t="s">
        <v>331</v>
      </c>
      <c r="G75" s="44">
        <v>0</v>
      </c>
      <c r="H75" s="44">
        <v>5703.56</v>
      </c>
      <c r="I75" s="45">
        <f t="shared" si="3"/>
        <v>5703.56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282</v>
      </c>
      <c r="B76" s="42" t="s">
        <v>72</v>
      </c>
      <c r="C76" s="57" t="s">
        <v>283</v>
      </c>
      <c r="D76" s="57" t="s">
        <v>181</v>
      </c>
      <c r="E76" s="46">
        <v>1</v>
      </c>
      <c r="F76" s="47" t="s">
        <v>332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284</v>
      </c>
      <c r="B77" s="42" t="s">
        <v>72</v>
      </c>
      <c r="C77" s="57" t="s">
        <v>285</v>
      </c>
      <c r="D77" s="57" t="s">
        <v>181</v>
      </c>
      <c r="E77" s="46">
        <v>1</v>
      </c>
      <c r="F77" s="47" t="s">
        <v>333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286</v>
      </c>
      <c r="B78" s="42" t="s">
        <v>72</v>
      </c>
      <c r="C78" s="57" t="s">
        <v>287</v>
      </c>
      <c r="D78" s="57" t="s">
        <v>181</v>
      </c>
      <c r="E78" s="46">
        <v>1</v>
      </c>
      <c r="F78" s="47" t="s">
        <v>334</v>
      </c>
      <c r="G78" s="44">
        <v>0</v>
      </c>
      <c r="H78" s="44">
        <v>3083.01</v>
      </c>
      <c r="I78" s="45">
        <f t="shared" si="3"/>
        <v>3083.01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288</v>
      </c>
      <c r="B79" s="42" t="s">
        <v>70</v>
      </c>
      <c r="C79" s="57" t="s">
        <v>289</v>
      </c>
      <c r="D79" s="57" t="s">
        <v>181</v>
      </c>
      <c r="E79" s="46">
        <v>1</v>
      </c>
      <c r="F79" s="47" t="s">
        <v>335</v>
      </c>
      <c r="G79" s="44">
        <v>0</v>
      </c>
      <c r="H79" s="44">
        <v>4316.21</v>
      </c>
      <c r="I79" s="45">
        <f t="shared" si="3"/>
        <v>4316.21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290</v>
      </c>
      <c r="B80" s="42" t="s">
        <v>66</v>
      </c>
      <c r="C80" s="57" t="s">
        <v>291</v>
      </c>
      <c r="D80" s="57" t="s">
        <v>181</v>
      </c>
      <c r="E80" s="46">
        <v>1</v>
      </c>
      <c r="F80" s="47" t="s">
        <v>336</v>
      </c>
      <c r="G80" s="44">
        <v>0</v>
      </c>
      <c r="H80" s="44">
        <v>5703.56</v>
      </c>
      <c r="I80" s="45">
        <f t="shared" si="3"/>
        <v>5703.56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292</v>
      </c>
      <c r="B81" s="42" t="s">
        <v>72</v>
      </c>
      <c r="C81" s="57" t="s">
        <v>293</v>
      </c>
      <c r="D81" s="57" t="s">
        <v>199</v>
      </c>
      <c r="E81" s="46">
        <v>1</v>
      </c>
      <c r="F81" s="47" t="s">
        <v>337</v>
      </c>
      <c r="G81" s="44">
        <v>1509.2</v>
      </c>
      <c r="H81" s="44">
        <v>3083.01</v>
      </c>
      <c r="I81" s="45">
        <f t="shared" si="3"/>
        <v>4592.21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294</v>
      </c>
      <c r="B82" s="42" t="s">
        <v>72</v>
      </c>
      <c r="C82" s="57" t="s">
        <v>295</v>
      </c>
      <c r="D82" s="73" t="s">
        <v>199</v>
      </c>
      <c r="E82" s="46">
        <v>1</v>
      </c>
      <c r="F82" s="47" t="s">
        <v>412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296</v>
      </c>
      <c r="B83" s="42" t="s">
        <v>72</v>
      </c>
      <c r="C83" s="57" t="s">
        <v>297</v>
      </c>
      <c r="D83" s="57" t="s">
        <v>199</v>
      </c>
      <c r="E83" s="46">
        <v>1</v>
      </c>
      <c r="F83" s="47" t="s">
        <v>338</v>
      </c>
      <c r="G83" s="44">
        <v>1509.2</v>
      </c>
      <c r="H83" s="44">
        <v>3083.01</v>
      </c>
      <c r="I83" s="45">
        <f t="shared" si="3"/>
        <v>4592.21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x14ac:dyDescent="0.2">
      <c r="A84" s="47" t="s">
        <v>298</v>
      </c>
      <c r="B84" s="42" t="s">
        <v>68</v>
      </c>
      <c r="C84" s="57" t="s">
        <v>299</v>
      </c>
      <c r="D84" s="57" t="s">
        <v>181</v>
      </c>
      <c r="E84" s="46">
        <v>1</v>
      </c>
      <c r="F84" s="47" t="s">
        <v>339</v>
      </c>
      <c r="G84" s="44">
        <v>0</v>
      </c>
      <c r="H84" s="44">
        <v>5241.1099999999997</v>
      </c>
      <c r="I84" s="45">
        <f t="shared" si="3"/>
        <v>5241.1099999999997</v>
      </c>
      <c r="J84" s="37"/>
      <c r="K84" s="21"/>
      <c r="L84" s="21"/>
      <c r="M84" s="21"/>
      <c r="N84" s="21"/>
      <c r="O84" s="21"/>
      <c r="P84" s="21"/>
      <c r="Q84" s="21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45" x14ac:dyDescent="0.2">
      <c r="A85" s="63" t="s">
        <v>55</v>
      </c>
      <c r="B85" s="63" t="s">
        <v>56</v>
      </c>
      <c r="C85" s="35" t="s">
        <v>57</v>
      </c>
      <c r="D85" s="35" t="s">
        <v>58</v>
      </c>
      <c r="E85" s="35" t="s">
        <v>59</v>
      </c>
      <c r="F85" s="48"/>
      <c r="G85" s="35" t="s">
        <v>60</v>
      </c>
      <c r="H85" s="35" t="s">
        <v>61</v>
      </c>
      <c r="I85" s="35" t="s">
        <v>62</v>
      </c>
      <c r="J85" s="37"/>
      <c r="K85" s="7"/>
      <c r="L85" s="7"/>
      <c r="M85" s="7"/>
      <c r="N85" s="7"/>
      <c r="O85" s="7"/>
      <c r="P85" s="7"/>
      <c r="Q85" s="7"/>
      <c r="R85" s="4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x14ac:dyDescent="0.2">
      <c r="A86" s="58" t="s">
        <v>63</v>
      </c>
      <c r="B86" s="59" t="s">
        <v>64</v>
      </c>
      <c r="C86" s="28">
        <f>SUMIFS($E$43:$E$84,$B$43:$B$84,"FDA",$D$43:$D$84,"&lt;&gt;VAGO")</f>
        <v>0</v>
      </c>
      <c r="D86" s="28">
        <f>SUMIFS($E$43:$E$84,$B$43:$B$84,"FDA",$D$43:$D$84,"VAGO")</f>
        <v>0</v>
      </c>
      <c r="E86" s="28">
        <f t="shared" ref="E86:E90" si="4">C86+D86</f>
        <v>0</v>
      </c>
      <c r="F86" s="29"/>
      <c r="G86" s="45">
        <f>SUMIF($B$43:$B$84,"FDA",$G$43:$G$84)</f>
        <v>0</v>
      </c>
      <c r="H86" s="45">
        <f>SUMIF($B$43:$B$84,"FDA",$H$43:$H$84)</f>
        <v>0</v>
      </c>
      <c r="I86" s="45">
        <f>SUMIF($B$43:$B$84,"FDA",$I$43:$I$84)</f>
        <v>0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65</v>
      </c>
      <c r="B87" s="59" t="s">
        <v>66</v>
      </c>
      <c r="C87" s="28">
        <f>SUMIFS($E$43:$E$84,$B$43:$B$84,"FDA-1",$D$43:$D$84,"&lt;&gt;VAGO")</f>
        <v>7</v>
      </c>
      <c r="D87" s="28">
        <f>SUMIFS($E$43:$E$84,$B$43:$B$84,"FDA-1",$D$43:$D$84,"VAGO")</f>
        <v>0</v>
      </c>
      <c r="E87" s="28">
        <f t="shared" si="4"/>
        <v>7</v>
      </c>
      <c r="F87" s="29"/>
      <c r="G87" s="45">
        <f>SUMIF($B$43:$B$84,"FDA-1",$G$43:$G$84)</f>
        <v>0</v>
      </c>
      <c r="H87" s="45">
        <f>SUMIF($B$43:$B$84,"FDA-1",$H$43:$H$84)</f>
        <v>39909.5</v>
      </c>
      <c r="I87" s="45">
        <f>SUMIF($B$43:$B$84,"FDA-1",$I$43:$I$84)</f>
        <v>39909.5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67</v>
      </c>
      <c r="B88" s="59" t="s">
        <v>68</v>
      </c>
      <c r="C88" s="28">
        <f>SUMIFS($E$43:$E$84,$B$43:$B$84,"FDA-2",$D$43:$D$84,"&lt;&gt;VAGO")</f>
        <v>6</v>
      </c>
      <c r="D88" s="28">
        <f>SUMIFS($E$43:$E$84,$B$43:$B$84,"FDA-2",$D$43:$D$84,"VAGO")</f>
        <v>0</v>
      </c>
      <c r="E88" s="28">
        <f t="shared" si="4"/>
        <v>6</v>
      </c>
      <c r="F88" s="32"/>
      <c r="G88" s="45">
        <f>SUMIF($B$43:$B$84,"FDA-2",$G$43:$G$84)</f>
        <v>35727.719999999994</v>
      </c>
      <c r="H88" s="45">
        <f>SUMIF($B$43:$B$84,"FDA-2",$H$43:$H$84)</f>
        <v>31446.66</v>
      </c>
      <c r="I88" s="45">
        <f>SUMIF($B$43:$B$84,"FDA-2",$I$43:$I$84)</f>
        <v>67174.37999999999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69</v>
      </c>
      <c r="B89" s="59" t="s">
        <v>70</v>
      </c>
      <c r="C89" s="28">
        <f>SUMIFS($E$43:$E$84,$B$43:$B$84,"FDA-3",$D$43:$D$84,"&lt;&gt;VAGO")</f>
        <v>2</v>
      </c>
      <c r="D89" s="28">
        <f>SUMIFS($E$43:$E$84,$B$43:$B$84,"FDA-3",$D$43:$D$84,"VAGO")</f>
        <v>0</v>
      </c>
      <c r="E89" s="28">
        <f t="shared" si="4"/>
        <v>2</v>
      </c>
      <c r="F89" s="34"/>
      <c r="G89" s="45">
        <f>SUMIF($B$43:$B$84,"FDA-3",$G$43:$G$84)</f>
        <v>0</v>
      </c>
      <c r="H89" s="45">
        <f>SUMIF($B$43:$B$84,"FDA-3",$H$43:$H$84)</f>
        <v>8632.42</v>
      </c>
      <c r="I89" s="45">
        <f>SUMIF($B$43:$B$84,"FDA-3",$I$43:$I$84)</f>
        <v>8632.42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x14ac:dyDescent="0.2">
      <c r="A90" s="58" t="s">
        <v>71</v>
      </c>
      <c r="B90" s="59" t="s">
        <v>72</v>
      </c>
      <c r="C90" s="28">
        <f>SUMIFS($E$43:$E$84,$B$43:$B$84,"FDA-4",$D$43:$D$84,"&lt;&gt;VAGO")</f>
        <v>27</v>
      </c>
      <c r="D90" s="28">
        <f>SUMIFS($E$43:$E$84,$B$43:$B$84,"FDA-4",$D$43:$D$84,"VAGO")</f>
        <v>0</v>
      </c>
      <c r="E90" s="28">
        <f t="shared" si="4"/>
        <v>27</v>
      </c>
      <c r="F90" s="32"/>
      <c r="G90" s="45">
        <f>SUMIF($B$43:$B$84,"FDA-4",$G$43:$G$84)</f>
        <v>6868.0599999999995</v>
      </c>
      <c r="H90" s="45">
        <f>SUMIF($B$43:$B$84,"FDA-4",$H$43:$H$84)</f>
        <v>83241.27</v>
      </c>
      <c r="I90" s="45">
        <f>SUMIF($B$43:$B$84,"FDA-4",$I$43:$I$84)</f>
        <v>90109.330000000031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30" x14ac:dyDescent="0.2">
      <c r="A91" s="63" t="s">
        <v>73</v>
      </c>
      <c r="B91" s="48"/>
      <c r="C91" s="35">
        <f t="shared" ref="C91:E91" si="5">SUM(C87:C90)</f>
        <v>42</v>
      </c>
      <c r="D91" s="35">
        <f t="shared" si="5"/>
        <v>0</v>
      </c>
      <c r="E91" s="35">
        <f t="shared" si="5"/>
        <v>42</v>
      </c>
      <c r="F91" s="48"/>
      <c r="G91" s="51">
        <f t="shared" ref="G91:I91" si="6">SUM(G86:G90)</f>
        <v>42595.779999999992</v>
      </c>
      <c r="H91" s="51">
        <f t="shared" si="6"/>
        <v>163229.85</v>
      </c>
      <c r="I91" s="51">
        <f t="shared" si="6"/>
        <v>205825.63</v>
      </c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45" customHeight="1" x14ac:dyDescent="0.2">
      <c r="A92" s="38"/>
      <c r="B92" s="38"/>
      <c r="C92" s="38"/>
      <c r="D92" s="38"/>
      <c r="E92" s="38"/>
      <c r="F92" s="38"/>
      <c r="G92" s="38"/>
      <c r="H92" s="38"/>
      <c r="I92" s="7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x14ac:dyDescent="0.2">
      <c r="A93" s="99" t="s">
        <v>74</v>
      </c>
      <c r="B93" s="93"/>
      <c r="C93" s="93"/>
      <c r="D93" s="93"/>
      <c r="E93" s="93"/>
      <c r="F93" s="93"/>
      <c r="G93" s="93"/>
      <c r="H93" s="93"/>
      <c r="I93" s="94"/>
      <c r="J93" s="21"/>
      <c r="K93" s="7"/>
      <c r="L93" s="21"/>
      <c r="M93" s="21"/>
      <c r="N93" s="21"/>
      <c r="O93" s="21"/>
      <c r="P93" s="21"/>
      <c r="Q93" s="2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30" x14ac:dyDescent="0.2">
      <c r="A94" s="52" t="s">
        <v>75</v>
      </c>
      <c r="B94" s="10" t="s">
        <v>76</v>
      </c>
      <c r="C94" s="10" t="s">
        <v>77</v>
      </c>
      <c r="D94" s="10" t="s">
        <v>78</v>
      </c>
      <c r="E94" s="10" t="s">
        <v>79</v>
      </c>
      <c r="F94" s="10" t="s">
        <v>80</v>
      </c>
      <c r="G94" s="10" t="s">
        <v>81</v>
      </c>
      <c r="H94" s="10" t="s">
        <v>82</v>
      </c>
      <c r="I94" s="10" t="s">
        <v>83</v>
      </c>
      <c r="J94" s="7"/>
      <c r="K94" s="7"/>
      <c r="L94" s="7"/>
      <c r="M94" s="7"/>
      <c r="N94" s="7"/>
      <c r="O94" s="7"/>
      <c r="P94" s="7"/>
      <c r="Q94" s="7"/>
      <c r="R94" s="40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">
      <c r="A95" s="56" t="s">
        <v>340</v>
      </c>
      <c r="B95" s="55" t="s">
        <v>93</v>
      </c>
      <c r="C95" s="55" t="s">
        <v>178</v>
      </c>
      <c r="D95" s="57" t="s">
        <v>181</v>
      </c>
      <c r="E95" s="46">
        <v>1</v>
      </c>
      <c r="F95" s="56" t="s">
        <v>374</v>
      </c>
      <c r="G95" s="44">
        <v>0</v>
      </c>
      <c r="H95" s="44">
        <v>1392.8</v>
      </c>
      <c r="I95" s="45">
        <f t="shared" ref="I95:I198" si="7">SUM(G95:H95)</f>
        <v>1392.8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341</v>
      </c>
      <c r="B96" s="55" t="s">
        <v>342</v>
      </c>
      <c r="C96" s="57" t="s">
        <v>178</v>
      </c>
      <c r="D96" s="57" t="s">
        <v>199</v>
      </c>
      <c r="E96" s="46">
        <v>1</v>
      </c>
      <c r="F96" s="47" t="s">
        <v>375</v>
      </c>
      <c r="G96" s="44">
        <v>831.13</v>
      </c>
      <c r="H96" s="44">
        <v>849.76</v>
      </c>
      <c r="I96" s="45">
        <f t="shared" si="7"/>
        <v>1680.8899999999999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343</v>
      </c>
      <c r="B97" s="55" t="s">
        <v>101</v>
      </c>
      <c r="C97" s="57" t="s">
        <v>178</v>
      </c>
      <c r="D97" s="57" t="s">
        <v>199</v>
      </c>
      <c r="E97" s="46">
        <v>1</v>
      </c>
      <c r="F97" s="43" t="s">
        <v>376</v>
      </c>
      <c r="G97" s="44">
        <v>831.26</v>
      </c>
      <c r="H97" s="44">
        <v>465.35</v>
      </c>
      <c r="I97" s="45">
        <f t="shared" si="7"/>
        <v>1296.6100000000001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340</v>
      </c>
      <c r="B98" s="55" t="s">
        <v>93</v>
      </c>
      <c r="C98" s="57" t="s">
        <v>223</v>
      </c>
      <c r="D98" s="57" t="s">
        <v>199</v>
      </c>
      <c r="E98" s="46">
        <v>1</v>
      </c>
      <c r="F98" s="43" t="s">
        <v>377</v>
      </c>
      <c r="G98" s="44">
        <v>844.27</v>
      </c>
      <c r="H98" s="44">
        <v>1392.8</v>
      </c>
      <c r="I98" s="45">
        <f t="shared" si="7"/>
        <v>2237.0699999999997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344</v>
      </c>
      <c r="B99" s="55" t="s">
        <v>345</v>
      </c>
      <c r="C99" s="57" t="s">
        <v>223</v>
      </c>
      <c r="D99" s="57" t="s">
        <v>199</v>
      </c>
      <c r="E99" s="46">
        <v>1</v>
      </c>
      <c r="F99" s="43" t="s">
        <v>378</v>
      </c>
      <c r="G99" s="44">
        <v>831.26</v>
      </c>
      <c r="H99" s="44">
        <v>505.81</v>
      </c>
      <c r="I99" s="45">
        <f t="shared" si="7"/>
        <v>1337.07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379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340</v>
      </c>
      <c r="B101" s="55" t="s">
        <v>93</v>
      </c>
      <c r="C101" s="57" t="s">
        <v>223</v>
      </c>
      <c r="D101" s="57" t="s">
        <v>181</v>
      </c>
      <c r="E101" s="46">
        <v>1</v>
      </c>
      <c r="F101" s="43" t="s">
        <v>380</v>
      </c>
      <c r="G101" s="44">
        <v>0</v>
      </c>
      <c r="H101" s="44">
        <v>1392.8</v>
      </c>
      <c r="I101" s="45">
        <f t="shared" si="7"/>
        <v>1392.8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381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347</v>
      </c>
      <c r="D103" s="57" t="s">
        <v>181</v>
      </c>
      <c r="E103" s="46">
        <v>1</v>
      </c>
      <c r="F103" s="43" t="s">
        <v>382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346</v>
      </c>
      <c r="B104" s="55" t="s">
        <v>97</v>
      </c>
      <c r="C104" s="57" t="s">
        <v>348</v>
      </c>
      <c r="D104" s="57" t="s">
        <v>181</v>
      </c>
      <c r="E104" s="46">
        <v>1</v>
      </c>
      <c r="F104" s="43" t="s">
        <v>383</v>
      </c>
      <c r="G104" s="44">
        <v>0</v>
      </c>
      <c r="H104" s="44">
        <v>566.5</v>
      </c>
      <c r="I104" s="45">
        <f t="shared" si="7"/>
        <v>566.5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347</v>
      </c>
      <c r="D105" s="57" t="s">
        <v>181</v>
      </c>
      <c r="E105" s="46">
        <v>1</v>
      </c>
      <c r="F105" s="43" t="s">
        <v>384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349</v>
      </c>
      <c r="D106" s="57" t="s">
        <v>181</v>
      </c>
      <c r="E106" s="46">
        <v>1</v>
      </c>
      <c r="F106" s="43" t="s">
        <v>385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340</v>
      </c>
      <c r="B107" s="55" t="s">
        <v>93</v>
      </c>
      <c r="C107" s="57" t="s">
        <v>231</v>
      </c>
      <c r="D107" s="57" t="s">
        <v>181</v>
      </c>
      <c r="E107" s="46">
        <v>1</v>
      </c>
      <c r="F107" s="43" t="s">
        <v>386</v>
      </c>
      <c r="G107" s="44">
        <v>0</v>
      </c>
      <c r="H107" s="44">
        <v>1392.8</v>
      </c>
      <c r="I107" s="45">
        <f t="shared" si="7"/>
        <v>1392.8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341</v>
      </c>
      <c r="B108" s="55" t="s">
        <v>342</v>
      </c>
      <c r="C108" s="57" t="s">
        <v>350</v>
      </c>
      <c r="D108" s="57" t="s">
        <v>181</v>
      </c>
      <c r="E108" s="46">
        <v>1</v>
      </c>
      <c r="F108" s="43" t="s">
        <v>387</v>
      </c>
      <c r="G108" s="44">
        <v>0</v>
      </c>
      <c r="H108" s="44">
        <v>849.76</v>
      </c>
      <c r="I108" s="45">
        <f t="shared" si="7"/>
        <v>849.76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340</v>
      </c>
      <c r="B109" s="55" t="s">
        <v>93</v>
      </c>
      <c r="C109" s="57" t="s">
        <v>351</v>
      </c>
      <c r="D109" s="57" t="s">
        <v>181</v>
      </c>
      <c r="E109" s="46">
        <v>1</v>
      </c>
      <c r="F109" s="43" t="s">
        <v>388</v>
      </c>
      <c r="G109" s="44">
        <v>0</v>
      </c>
      <c r="H109" s="44">
        <v>1392.8</v>
      </c>
      <c r="I109" s="45">
        <f t="shared" si="7"/>
        <v>1392.8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346</v>
      </c>
      <c r="B110" s="55" t="s">
        <v>97</v>
      </c>
      <c r="C110" s="57" t="s">
        <v>352</v>
      </c>
      <c r="D110" s="57" t="s">
        <v>199</v>
      </c>
      <c r="E110" s="46">
        <v>1</v>
      </c>
      <c r="F110" s="43" t="s">
        <v>389</v>
      </c>
      <c r="G110" s="44">
        <v>852.4</v>
      </c>
      <c r="H110" s="44">
        <v>566.5</v>
      </c>
      <c r="I110" s="45">
        <f t="shared" si="7"/>
        <v>1418.9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340</v>
      </c>
      <c r="B111" s="55" t="s">
        <v>93</v>
      </c>
      <c r="C111" s="57" t="s">
        <v>353</v>
      </c>
      <c r="D111" s="57" t="s">
        <v>199</v>
      </c>
      <c r="E111" s="46">
        <v>1</v>
      </c>
      <c r="F111" s="43" t="s">
        <v>390</v>
      </c>
      <c r="G111" s="44">
        <v>830.46</v>
      </c>
      <c r="H111" s="44">
        <v>1392.8</v>
      </c>
      <c r="I111" s="45">
        <f t="shared" si="7"/>
        <v>2223.2600000000002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391</v>
      </c>
      <c r="G112" s="44">
        <v>844.27</v>
      </c>
      <c r="H112" s="44">
        <v>566.5</v>
      </c>
      <c r="I112" s="45">
        <f t="shared" si="7"/>
        <v>1410.77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353</v>
      </c>
      <c r="D113" s="57" t="s">
        <v>199</v>
      </c>
      <c r="E113" s="46">
        <v>1</v>
      </c>
      <c r="F113" s="43" t="s">
        <v>392</v>
      </c>
      <c r="G113" s="44">
        <v>844.13</v>
      </c>
      <c r="H113" s="44">
        <v>566.5</v>
      </c>
      <c r="I113" s="45">
        <f t="shared" si="7"/>
        <v>1410.63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354</v>
      </c>
      <c r="D114" s="57" t="s">
        <v>181</v>
      </c>
      <c r="E114" s="46">
        <v>1</v>
      </c>
      <c r="F114" s="43" t="s">
        <v>393</v>
      </c>
      <c r="G114" s="44">
        <v>0</v>
      </c>
      <c r="H114" s="44">
        <v>566.5</v>
      </c>
      <c r="I114" s="45">
        <f t="shared" si="7"/>
        <v>566.5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477</v>
      </c>
      <c r="G115" s="44">
        <v>845.01</v>
      </c>
      <c r="H115" s="44">
        <v>566.5</v>
      </c>
      <c r="I115" s="45">
        <f t="shared" si="7"/>
        <v>1411.51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394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346</v>
      </c>
      <c r="B117" s="55" t="s">
        <v>97</v>
      </c>
      <c r="C117" s="57" t="s">
        <v>355</v>
      </c>
      <c r="D117" s="57" t="s">
        <v>199</v>
      </c>
      <c r="E117" s="46">
        <v>1</v>
      </c>
      <c r="F117" s="43" t="s">
        <v>395</v>
      </c>
      <c r="G117" s="44">
        <v>837.96</v>
      </c>
      <c r="H117" s="44">
        <v>566.5</v>
      </c>
      <c r="I117" s="45">
        <f t="shared" si="7"/>
        <v>1404.46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340</v>
      </c>
      <c r="B118" s="55" t="s">
        <v>93</v>
      </c>
      <c r="C118" s="57" t="s">
        <v>356</v>
      </c>
      <c r="D118" s="57" t="s">
        <v>181</v>
      </c>
      <c r="E118" s="46">
        <v>1</v>
      </c>
      <c r="F118" s="43" t="s">
        <v>396</v>
      </c>
      <c r="G118" s="44">
        <v>0</v>
      </c>
      <c r="H118" s="44">
        <v>1392.8</v>
      </c>
      <c r="I118" s="45">
        <f t="shared" si="7"/>
        <v>1392.8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346</v>
      </c>
      <c r="B119" s="55" t="s">
        <v>97</v>
      </c>
      <c r="C119" s="57" t="s">
        <v>356</v>
      </c>
      <c r="D119" s="57" t="s">
        <v>199</v>
      </c>
      <c r="E119" s="46">
        <v>1</v>
      </c>
      <c r="F119" s="43" t="s">
        <v>397</v>
      </c>
      <c r="G119" s="44">
        <v>844.87</v>
      </c>
      <c r="H119" s="44">
        <v>566.5</v>
      </c>
      <c r="I119" s="45">
        <f t="shared" si="7"/>
        <v>1411.37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344</v>
      </c>
      <c r="B120" s="55" t="s">
        <v>345</v>
      </c>
      <c r="C120" s="57" t="s">
        <v>356</v>
      </c>
      <c r="D120" s="57" t="s">
        <v>199</v>
      </c>
      <c r="E120" s="46">
        <v>1</v>
      </c>
      <c r="F120" s="43" t="s">
        <v>398</v>
      </c>
      <c r="G120" s="44">
        <v>852.4</v>
      </c>
      <c r="H120" s="44">
        <v>505.81</v>
      </c>
      <c r="I120" s="45">
        <f t="shared" si="7"/>
        <v>1358.21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340</v>
      </c>
      <c r="B121" s="55" t="s">
        <v>93</v>
      </c>
      <c r="C121" s="57" t="s">
        <v>357</v>
      </c>
      <c r="D121" s="57" t="s">
        <v>181</v>
      </c>
      <c r="E121" s="46">
        <v>1</v>
      </c>
      <c r="F121" s="43" t="s">
        <v>399</v>
      </c>
      <c r="G121" s="44">
        <v>0</v>
      </c>
      <c r="H121" s="44">
        <v>1392.8</v>
      </c>
      <c r="I121" s="45">
        <f t="shared" si="7"/>
        <v>1392.8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400</v>
      </c>
      <c r="G122" s="44">
        <v>16704.73</v>
      </c>
      <c r="H122" s="44">
        <v>566.5</v>
      </c>
      <c r="I122" s="45">
        <f t="shared" si="7"/>
        <v>17271.23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357</v>
      </c>
      <c r="D123" s="57" t="s">
        <v>199</v>
      </c>
      <c r="E123" s="46">
        <v>1</v>
      </c>
      <c r="F123" s="43" t="s">
        <v>401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199</v>
      </c>
      <c r="E124" s="46">
        <v>1</v>
      </c>
      <c r="F124" s="43" t="s">
        <v>402</v>
      </c>
      <c r="G124" s="44">
        <v>837.96</v>
      </c>
      <c r="H124" s="44">
        <v>566.5</v>
      </c>
      <c r="I124" s="45">
        <f t="shared" si="7"/>
        <v>1404.46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346</v>
      </c>
      <c r="B125" s="55" t="s">
        <v>97</v>
      </c>
      <c r="C125" s="57" t="s">
        <v>358</v>
      </c>
      <c r="D125" s="57" t="s">
        <v>181</v>
      </c>
      <c r="E125" s="46">
        <v>1</v>
      </c>
      <c r="F125" s="43" t="s">
        <v>403</v>
      </c>
      <c r="G125" s="44">
        <v>0</v>
      </c>
      <c r="H125" s="44">
        <v>566.5</v>
      </c>
      <c r="I125" s="45">
        <f t="shared" si="7"/>
        <v>566.5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404</v>
      </c>
      <c r="G126" s="44">
        <v>831.26</v>
      </c>
      <c r="H126" s="44">
        <v>1392.8</v>
      </c>
      <c r="I126" s="45">
        <f t="shared" si="7"/>
        <v>2224.06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359</v>
      </c>
      <c r="D127" s="57" t="s">
        <v>199</v>
      </c>
      <c r="E127" s="46">
        <v>1</v>
      </c>
      <c r="F127" s="43" t="s">
        <v>405</v>
      </c>
      <c r="G127" s="44">
        <v>1006.04</v>
      </c>
      <c r="H127" s="44">
        <v>1392.8</v>
      </c>
      <c r="I127" s="45">
        <f t="shared" si="7"/>
        <v>2398.84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340</v>
      </c>
      <c r="B128" s="55" t="s">
        <v>93</v>
      </c>
      <c r="C128" s="57" t="s">
        <v>360</v>
      </c>
      <c r="D128" s="57" t="s">
        <v>199</v>
      </c>
      <c r="E128" s="46">
        <v>1</v>
      </c>
      <c r="F128" s="43" t="s">
        <v>406</v>
      </c>
      <c r="G128" s="44">
        <v>837.96</v>
      </c>
      <c r="H128" s="44">
        <v>1392.8</v>
      </c>
      <c r="I128" s="45">
        <f t="shared" si="7"/>
        <v>2230.7600000000002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407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346</v>
      </c>
      <c r="B130" s="55" t="s">
        <v>97</v>
      </c>
      <c r="C130" s="57" t="s">
        <v>361</v>
      </c>
      <c r="D130" s="57" t="s">
        <v>181</v>
      </c>
      <c r="E130" s="46">
        <v>1</v>
      </c>
      <c r="F130" s="43" t="s">
        <v>408</v>
      </c>
      <c r="G130" s="44">
        <v>0</v>
      </c>
      <c r="H130" s="44">
        <v>566.5</v>
      </c>
      <c r="I130" s="45">
        <f t="shared" si="7"/>
        <v>566.5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362</v>
      </c>
      <c r="D131" s="57" t="s">
        <v>181</v>
      </c>
      <c r="E131" s="46">
        <v>1</v>
      </c>
      <c r="F131" s="43" t="s">
        <v>409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410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340</v>
      </c>
      <c r="B133" s="55" t="s">
        <v>93</v>
      </c>
      <c r="C133" s="57" t="s">
        <v>248</v>
      </c>
      <c r="D133" s="73" t="s">
        <v>199</v>
      </c>
      <c r="E133" s="46">
        <v>1</v>
      </c>
      <c r="F133" s="43" t="s">
        <v>509</v>
      </c>
      <c r="G133" s="44">
        <v>1509.2</v>
      </c>
      <c r="H133" s="44">
        <v>1392.8</v>
      </c>
      <c r="I133" s="45">
        <f t="shared" si="7"/>
        <v>2902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346</v>
      </c>
      <c r="B134" s="55" t="s">
        <v>97</v>
      </c>
      <c r="C134" s="57" t="s">
        <v>248</v>
      </c>
      <c r="D134" s="57" t="s">
        <v>199</v>
      </c>
      <c r="E134" s="46">
        <v>1</v>
      </c>
      <c r="F134" s="43" t="s">
        <v>490</v>
      </c>
      <c r="G134" s="44">
        <v>1509.2</v>
      </c>
      <c r="H134" s="44">
        <v>1392.8</v>
      </c>
      <c r="I134" s="45">
        <f t="shared" si="7"/>
        <v>2902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248</v>
      </c>
      <c r="D135" s="57" t="s">
        <v>199</v>
      </c>
      <c r="E135" s="46">
        <v>1</v>
      </c>
      <c r="F135" s="43" t="s">
        <v>413</v>
      </c>
      <c r="G135" s="44">
        <v>837.83</v>
      </c>
      <c r="H135" s="44">
        <v>1392.8</v>
      </c>
      <c r="I135" s="45">
        <f t="shared" si="7"/>
        <v>2230.63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199</v>
      </c>
      <c r="E136" s="46">
        <v>1</v>
      </c>
      <c r="F136" s="43" t="s">
        <v>414</v>
      </c>
      <c r="G136" s="44">
        <v>809.06</v>
      </c>
      <c r="H136" s="44">
        <v>1392.8</v>
      </c>
      <c r="I136" s="45">
        <f t="shared" si="7"/>
        <v>2201.8599999999997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78" t="s">
        <v>505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181</v>
      </c>
      <c r="E138" s="46">
        <v>1</v>
      </c>
      <c r="F138" s="79" t="s">
        <v>495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417</v>
      </c>
      <c r="G139" s="44">
        <v>1509.2</v>
      </c>
      <c r="H139" s="44">
        <v>1392.8</v>
      </c>
      <c r="I139" s="45">
        <f t="shared" si="7"/>
        <v>2902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340</v>
      </c>
      <c r="B140" s="55" t="s">
        <v>93</v>
      </c>
      <c r="C140" s="57" t="s">
        <v>194</v>
      </c>
      <c r="D140" s="57" t="s">
        <v>199</v>
      </c>
      <c r="E140" s="46">
        <v>1</v>
      </c>
      <c r="F140" s="43" t="s">
        <v>418</v>
      </c>
      <c r="G140" s="44">
        <v>809.06</v>
      </c>
      <c r="H140" s="44">
        <v>1392.8</v>
      </c>
      <c r="I140" s="45">
        <f t="shared" si="7"/>
        <v>2201.8599999999997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419</v>
      </c>
      <c r="G141" s="44">
        <v>852.4</v>
      </c>
      <c r="H141" s="44">
        <v>849.76</v>
      </c>
      <c r="I141" s="45">
        <f t="shared" si="7"/>
        <v>1702.1599999999999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478</v>
      </c>
      <c r="G142" s="44">
        <v>1509.2</v>
      </c>
      <c r="H142" s="44">
        <v>849.76</v>
      </c>
      <c r="I142" s="45">
        <f t="shared" si="7"/>
        <v>2358.96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421</v>
      </c>
      <c r="G143" s="44">
        <v>809.06</v>
      </c>
      <c r="H143" s="44">
        <v>849.76</v>
      </c>
      <c r="I143" s="45">
        <f t="shared" si="7"/>
        <v>1658.82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341</v>
      </c>
      <c r="B144" s="55" t="s">
        <v>342</v>
      </c>
      <c r="C144" s="57" t="s">
        <v>194</v>
      </c>
      <c r="D144" s="57" t="s">
        <v>199</v>
      </c>
      <c r="E144" s="46">
        <v>1</v>
      </c>
      <c r="F144" s="43" t="s">
        <v>422</v>
      </c>
      <c r="G144" s="44">
        <v>837.26</v>
      </c>
      <c r="H144" s="44">
        <v>849.76</v>
      </c>
      <c r="I144" s="45">
        <f t="shared" si="7"/>
        <v>1687.02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423</v>
      </c>
      <c r="G145" s="44">
        <v>824.75</v>
      </c>
      <c r="H145" s="44">
        <v>566.5</v>
      </c>
      <c r="I145" s="45">
        <f t="shared" si="7"/>
        <v>1391.25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346</v>
      </c>
      <c r="B146" s="55" t="s">
        <v>97</v>
      </c>
      <c r="C146" s="57" t="s">
        <v>194</v>
      </c>
      <c r="D146" s="57" t="s">
        <v>199</v>
      </c>
      <c r="E146" s="46">
        <v>1</v>
      </c>
      <c r="F146" s="43" t="s">
        <v>424</v>
      </c>
      <c r="G146" s="44">
        <v>831.26</v>
      </c>
      <c r="H146" s="44">
        <v>566.5</v>
      </c>
      <c r="I146" s="45">
        <f t="shared" si="7"/>
        <v>1397.76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363</v>
      </c>
      <c r="B147" s="55" t="s">
        <v>342</v>
      </c>
      <c r="C147" s="57" t="s">
        <v>194</v>
      </c>
      <c r="D147" s="57" t="s">
        <v>199</v>
      </c>
      <c r="E147" s="46">
        <v>1</v>
      </c>
      <c r="F147" s="43" t="s">
        <v>425</v>
      </c>
      <c r="G147" s="44">
        <v>1509.2</v>
      </c>
      <c r="H147" s="44">
        <v>849.76</v>
      </c>
      <c r="I147" s="45">
        <f t="shared" si="7"/>
        <v>2358.96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73" t="s">
        <v>199</v>
      </c>
      <c r="E148" s="46">
        <v>1</v>
      </c>
      <c r="F148" s="43" t="s">
        <v>510</v>
      </c>
      <c r="G148" s="86">
        <v>1509.2</v>
      </c>
      <c r="H148" s="44">
        <v>1392.8</v>
      </c>
      <c r="I148" s="45">
        <f t="shared" si="7"/>
        <v>2902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254</v>
      </c>
      <c r="D149" s="57" t="s">
        <v>181</v>
      </c>
      <c r="E149" s="46">
        <v>1</v>
      </c>
      <c r="F149" s="87" t="s">
        <v>486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181</v>
      </c>
      <c r="E150" s="46">
        <v>1</v>
      </c>
      <c r="F150" s="43" t="s">
        <v>428</v>
      </c>
      <c r="G150" s="44">
        <v>0</v>
      </c>
      <c r="H150" s="44">
        <v>1392.8</v>
      </c>
      <c r="I150" s="45">
        <f t="shared" si="7"/>
        <v>1392.8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340</v>
      </c>
      <c r="B151" s="55" t="s">
        <v>93</v>
      </c>
      <c r="C151" s="57" t="s">
        <v>364</v>
      </c>
      <c r="D151" s="57" t="s">
        <v>199</v>
      </c>
      <c r="E151" s="46">
        <v>1</v>
      </c>
      <c r="F151" s="43" t="s">
        <v>429</v>
      </c>
      <c r="G151" s="44">
        <v>809.06</v>
      </c>
      <c r="H151" s="44">
        <v>1392.8</v>
      </c>
      <c r="I151" s="45">
        <f t="shared" si="7"/>
        <v>2201.8599999999997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346</v>
      </c>
      <c r="B152" s="55" t="s">
        <v>97</v>
      </c>
      <c r="C152" s="57" t="s">
        <v>364</v>
      </c>
      <c r="D152" s="57" t="s">
        <v>199</v>
      </c>
      <c r="E152" s="46">
        <v>1</v>
      </c>
      <c r="F152" s="79" t="s">
        <v>511</v>
      </c>
      <c r="G152" s="44">
        <v>809.06</v>
      </c>
      <c r="H152" s="44">
        <v>566.5</v>
      </c>
      <c r="I152" s="45">
        <f t="shared" si="7"/>
        <v>1375.56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341</v>
      </c>
      <c r="B153" s="55" t="s">
        <v>342</v>
      </c>
      <c r="C153" s="57" t="s">
        <v>364</v>
      </c>
      <c r="D153" s="57" t="s">
        <v>199</v>
      </c>
      <c r="E153" s="46">
        <v>1</v>
      </c>
      <c r="F153" s="79" t="s">
        <v>506</v>
      </c>
      <c r="G153" s="44">
        <v>809.06</v>
      </c>
      <c r="H153" s="44">
        <v>849.76</v>
      </c>
      <c r="I153" s="45">
        <f t="shared" si="7"/>
        <v>1658.82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346</v>
      </c>
      <c r="B154" s="55" t="s">
        <v>97</v>
      </c>
      <c r="C154" s="57" t="s">
        <v>260</v>
      </c>
      <c r="D154" s="57" t="s">
        <v>181</v>
      </c>
      <c r="E154" s="46">
        <v>1</v>
      </c>
      <c r="F154" s="78" t="s">
        <v>432</v>
      </c>
      <c r="G154" s="44">
        <v>0</v>
      </c>
      <c r="H154" s="44">
        <v>566.5</v>
      </c>
      <c r="I154" s="45">
        <f t="shared" si="7"/>
        <v>566.5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340</v>
      </c>
      <c r="B155" s="55" t="s">
        <v>93</v>
      </c>
      <c r="C155" s="57" t="s">
        <v>260</v>
      </c>
      <c r="D155" s="73" t="s">
        <v>183</v>
      </c>
      <c r="E155" s="46">
        <v>1</v>
      </c>
      <c r="F155" s="79" t="s">
        <v>183</v>
      </c>
      <c r="G155" s="44">
        <v>0</v>
      </c>
      <c r="H155" s="44">
        <v>0</v>
      </c>
      <c r="I155" s="45">
        <f t="shared" si="7"/>
        <v>0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434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365</v>
      </c>
      <c r="B157" s="55" t="s">
        <v>93</v>
      </c>
      <c r="C157" s="57" t="s">
        <v>260</v>
      </c>
      <c r="D157" s="57" t="s">
        <v>181</v>
      </c>
      <c r="E157" s="46">
        <v>1</v>
      </c>
      <c r="F157" s="43" t="s">
        <v>435</v>
      </c>
      <c r="G157" s="44">
        <v>0</v>
      </c>
      <c r="H157" s="44">
        <v>1392.8</v>
      </c>
      <c r="I157" s="45">
        <f t="shared" si="7"/>
        <v>1392.8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341</v>
      </c>
      <c r="B158" s="55" t="s">
        <v>342</v>
      </c>
      <c r="C158" s="57" t="s">
        <v>198</v>
      </c>
      <c r="D158" s="57" t="s">
        <v>199</v>
      </c>
      <c r="E158" s="46">
        <v>1</v>
      </c>
      <c r="F158" s="78" t="s">
        <v>507</v>
      </c>
      <c r="G158" s="44">
        <v>809.06</v>
      </c>
      <c r="H158" s="44">
        <v>849.76</v>
      </c>
      <c r="I158" s="45">
        <f t="shared" si="7"/>
        <v>1658.82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343</v>
      </c>
      <c r="B159" s="55" t="s">
        <v>101</v>
      </c>
      <c r="C159" s="57" t="s">
        <v>198</v>
      </c>
      <c r="D159" s="57" t="s">
        <v>199</v>
      </c>
      <c r="E159" s="46">
        <v>1</v>
      </c>
      <c r="F159" s="43" t="s">
        <v>437</v>
      </c>
      <c r="G159" s="44">
        <v>1509.2</v>
      </c>
      <c r="H159" s="44">
        <v>849.76</v>
      </c>
      <c r="I159" s="45">
        <f t="shared" si="7"/>
        <v>2358.96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181</v>
      </c>
      <c r="E160" s="46">
        <v>1</v>
      </c>
      <c r="F160" s="43" t="s">
        <v>438</v>
      </c>
      <c r="G160" s="44">
        <v>0</v>
      </c>
      <c r="H160" s="44">
        <v>1392.8</v>
      </c>
      <c r="I160" s="45">
        <f t="shared" si="7"/>
        <v>1392.8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340</v>
      </c>
      <c r="B161" s="55" t="s">
        <v>93</v>
      </c>
      <c r="C161" s="57" t="s">
        <v>366</v>
      </c>
      <c r="D161" s="57" t="s">
        <v>199</v>
      </c>
      <c r="E161" s="46">
        <v>1</v>
      </c>
      <c r="F161" s="43" t="s">
        <v>439</v>
      </c>
      <c r="G161" s="44">
        <v>852.4</v>
      </c>
      <c r="H161" s="44">
        <v>1392.8</v>
      </c>
      <c r="I161" s="45">
        <f t="shared" si="7"/>
        <v>2245.1999999999998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440</v>
      </c>
      <c r="G162" s="44">
        <v>831.26</v>
      </c>
      <c r="H162" s="44">
        <v>849.76</v>
      </c>
      <c r="I162" s="45">
        <f t="shared" si="7"/>
        <v>1681.02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441</v>
      </c>
      <c r="G163" s="44">
        <v>824.11</v>
      </c>
      <c r="H163" s="44">
        <v>849.76</v>
      </c>
      <c r="I163" s="45">
        <f t="shared" si="7"/>
        <v>1673.87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442</v>
      </c>
      <c r="G164" s="44">
        <v>1109.1600000000001</v>
      </c>
      <c r="H164" s="44">
        <v>849.76</v>
      </c>
      <c r="I164" s="45">
        <f t="shared" si="7"/>
        <v>1958.92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443</v>
      </c>
      <c r="G165" s="44">
        <v>811.5</v>
      </c>
      <c r="H165" s="44">
        <v>849.76</v>
      </c>
      <c r="I165" s="45">
        <f t="shared" si="7"/>
        <v>1661.26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341</v>
      </c>
      <c r="B166" s="55" t="s">
        <v>342</v>
      </c>
      <c r="C166" s="57" t="s">
        <v>366</v>
      </c>
      <c r="D166" s="57" t="s">
        <v>199</v>
      </c>
      <c r="E166" s="46">
        <v>1</v>
      </c>
      <c r="F166" s="43" t="s">
        <v>444</v>
      </c>
      <c r="G166" s="44">
        <v>831.13</v>
      </c>
      <c r="H166" s="44">
        <v>849.76</v>
      </c>
      <c r="I166" s="45">
        <f t="shared" si="7"/>
        <v>1680.8899999999999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366</v>
      </c>
      <c r="D167" s="57" t="s">
        <v>199</v>
      </c>
      <c r="E167" s="46">
        <v>1</v>
      </c>
      <c r="F167" s="43" t="s">
        <v>445</v>
      </c>
      <c r="G167" s="44">
        <v>844.87</v>
      </c>
      <c r="H167" s="44">
        <v>566.5</v>
      </c>
      <c r="I167" s="45">
        <f t="shared" si="7"/>
        <v>1411.37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346</v>
      </c>
      <c r="B168" s="55" t="s">
        <v>97</v>
      </c>
      <c r="C168" s="57" t="s">
        <v>291</v>
      </c>
      <c r="D168" s="57" t="s">
        <v>199</v>
      </c>
      <c r="E168" s="46">
        <v>1</v>
      </c>
      <c r="F168" s="43" t="s">
        <v>446</v>
      </c>
      <c r="G168" s="44">
        <v>852.4</v>
      </c>
      <c r="H168" s="44">
        <v>566.5</v>
      </c>
      <c r="I168" s="45">
        <f t="shared" si="7"/>
        <v>1418.9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94</v>
      </c>
      <c r="B169" s="55" t="s">
        <v>342</v>
      </c>
      <c r="C169" s="57" t="s">
        <v>291</v>
      </c>
      <c r="D169" s="57" t="s">
        <v>199</v>
      </c>
      <c r="E169" s="46">
        <v>1</v>
      </c>
      <c r="F169" s="43" t="s">
        <v>487</v>
      </c>
      <c r="G169" s="44">
        <v>809.06</v>
      </c>
      <c r="H169" s="44">
        <v>849.76</v>
      </c>
      <c r="I169" s="45">
        <f t="shared" si="7"/>
        <v>1658.82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341</v>
      </c>
      <c r="B170" s="55" t="s">
        <v>342</v>
      </c>
      <c r="C170" s="57" t="s">
        <v>291</v>
      </c>
      <c r="D170" s="57" t="s">
        <v>181</v>
      </c>
      <c r="E170" s="46">
        <v>1</v>
      </c>
      <c r="F170" s="43" t="s">
        <v>448</v>
      </c>
      <c r="G170" s="44">
        <v>0</v>
      </c>
      <c r="H170" s="44">
        <v>849.76</v>
      </c>
      <c r="I170" s="45">
        <f t="shared" si="7"/>
        <v>849.76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449</v>
      </c>
      <c r="G171" s="44">
        <v>852.4</v>
      </c>
      <c r="H171" s="44">
        <v>1392.8</v>
      </c>
      <c r="I171" s="45">
        <f t="shared" si="7"/>
        <v>2245.1999999999998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450</v>
      </c>
      <c r="G172" s="44">
        <v>844.87</v>
      </c>
      <c r="H172" s="44">
        <v>1392.8</v>
      </c>
      <c r="I172" s="45">
        <f t="shared" si="7"/>
        <v>2237.67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340</v>
      </c>
      <c r="B173" s="55" t="s">
        <v>93</v>
      </c>
      <c r="C173" s="57" t="s">
        <v>291</v>
      </c>
      <c r="D173" s="57" t="s">
        <v>199</v>
      </c>
      <c r="E173" s="46">
        <v>1</v>
      </c>
      <c r="F173" s="43" t="s">
        <v>451</v>
      </c>
      <c r="G173" s="44">
        <v>852.4</v>
      </c>
      <c r="H173" s="44">
        <v>1392.8</v>
      </c>
      <c r="I173" s="45">
        <f t="shared" si="7"/>
        <v>2245.1999999999998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346</v>
      </c>
      <c r="B174" s="55" t="s">
        <v>97</v>
      </c>
      <c r="C174" s="57" t="s">
        <v>291</v>
      </c>
      <c r="D174" s="57" t="s">
        <v>199</v>
      </c>
      <c r="E174" s="46">
        <v>1</v>
      </c>
      <c r="F174" s="43" t="s">
        <v>452</v>
      </c>
      <c r="G174" s="44">
        <v>852.4</v>
      </c>
      <c r="H174" s="44">
        <v>566.5</v>
      </c>
      <c r="I174" s="45">
        <f t="shared" si="7"/>
        <v>1418.9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344</v>
      </c>
      <c r="B175" s="55" t="s">
        <v>345</v>
      </c>
      <c r="C175" s="57" t="s">
        <v>291</v>
      </c>
      <c r="D175" s="57" t="s">
        <v>199</v>
      </c>
      <c r="E175" s="46">
        <v>1</v>
      </c>
      <c r="F175" s="43" t="s">
        <v>453</v>
      </c>
      <c r="G175" s="44">
        <v>1509.2</v>
      </c>
      <c r="H175" s="44">
        <v>505.81</v>
      </c>
      <c r="I175" s="45">
        <f t="shared" si="7"/>
        <v>2015.01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367</v>
      </c>
      <c r="B176" s="55" t="s">
        <v>103</v>
      </c>
      <c r="C176" s="57" t="s">
        <v>291</v>
      </c>
      <c r="D176" s="57" t="s">
        <v>199</v>
      </c>
      <c r="E176" s="46">
        <v>1</v>
      </c>
      <c r="F176" s="43" t="s">
        <v>454</v>
      </c>
      <c r="G176" s="44">
        <v>1509.2</v>
      </c>
      <c r="H176" s="44">
        <v>364.17</v>
      </c>
      <c r="I176" s="45">
        <f t="shared" si="7"/>
        <v>1873.3700000000001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455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181</v>
      </c>
      <c r="E178" s="46">
        <v>1</v>
      </c>
      <c r="F178" s="43" t="s">
        <v>456</v>
      </c>
      <c r="G178" s="44">
        <v>0</v>
      </c>
      <c r="H178" s="44">
        <v>1392.8</v>
      </c>
      <c r="I178" s="45">
        <f t="shared" si="7"/>
        <v>1392.8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340</v>
      </c>
      <c r="B179" s="55" t="s">
        <v>93</v>
      </c>
      <c r="C179" s="57" t="s">
        <v>203</v>
      </c>
      <c r="D179" s="57" t="s">
        <v>199</v>
      </c>
      <c r="E179" s="46">
        <v>1</v>
      </c>
      <c r="F179" s="43" t="s">
        <v>457</v>
      </c>
      <c r="G179" s="44">
        <v>1509.2</v>
      </c>
      <c r="H179" s="44">
        <v>1392.8</v>
      </c>
      <c r="I179" s="45">
        <f t="shared" si="7"/>
        <v>2902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346</v>
      </c>
      <c r="B180" s="55" t="s">
        <v>97</v>
      </c>
      <c r="C180" s="57" t="s">
        <v>295</v>
      </c>
      <c r="D180" s="57" t="s">
        <v>199</v>
      </c>
      <c r="E180" s="46">
        <v>1</v>
      </c>
      <c r="F180" s="43" t="s">
        <v>458</v>
      </c>
      <c r="G180" s="44">
        <v>844.87</v>
      </c>
      <c r="H180" s="44">
        <v>566.5</v>
      </c>
      <c r="I180" s="45">
        <f t="shared" si="7"/>
        <v>1411.37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295</v>
      </c>
      <c r="D181" s="57" t="s">
        <v>199</v>
      </c>
      <c r="E181" s="46">
        <v>1</v>
      </c>
      <c r="F181" s="43" t="s">
        <v>459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299</v>
      </c>
      <c r="D182" s="57" t="s">
        <v>199</v>
      </c>
      <c r="E182" s="46">
        <v>1</v>
      </c>
      <c r="F182" s="43" t="s">
        <v>460</v>
      </c>
      <c r="G182" s="44">
        <v>1509.2</v>
      </c>
      <c r="H182" s="44">
        <v>849.76</v>
      </c>
      <c r="I182" s="45">
        <f t="shared" si="7"/>
        <v>2358.96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341</v>
      </c>
      <c r="B183" s="55" t="s">
        <v>342</v>
      </c>
      <c r="C183" s="57" t="s">
        <v>368</v>
      </c>
      <c r="D183" s="57" t="s">
        <v>199</v>
      </c>
      <c r="E183" s="46">
        <v>1</v>
      </c>
      <c r="F183" s="43" t="s">
        <v>461</v>
      </c>
      <c r="G183" s="44">
        <v>987.85</v>
      </c>
      <c r="H183" s="44">
        <v>849.76</v>
      </c>
      <c r="I183" s="45">
        <f t="shared" si="7"/>
        <v>1837.6100000000001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462</v>
      </c>
      <c r="G184" s="44">
        <v>990.49</v>
      </c>
      <c r="H184" s="44">
        <v>505.81</v>
      </c>
      <c r="I184" s="45">
        <f t="shared" si="7"/>
        <v>1496.3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344</v>
      </c>
      <c r="B185" s="55" t="s">
        <v>345</v>
      </c>
      <c r="C185" s="57" t="s">
        <v>368</v>
      </c>
      <c r="D185" s="57" t="s">
        <v>199</v>
      </c>
      <c r="E185" s="46">
        <v>1</v>
      </c>
      <c r="F185" s="43" t="s">
        <v>463</v>
      </c>
      <c r="G185" s="44">
        <v>987.85</v>
      </c>
      <c r="H185" s="44">
        <v>505.81</v>
      </c>
      <c r="I185" s="45">
        <f t="shared" si="7"/>
        <v>1493.66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368</v>
      </c>
      <c r="D186" s="57" t="s">
        <v>199</v>
      </c>
      <c r="E186" s="46">
        <v>1</v>
      </c>
      <c r="F186" s="43" t="s">
        <v>464</v>
      </c>
      <c r="G186" s="44">
        <v>974.09</v>
      </c>
      <c r="H186" s="44">
        <v>566.5</v>
      </c>
      <c r="I186" s="45">
        <f t="shared" si="7"/>
        <v>1540.5900000000001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346</v>
      </c>
      <c r="B187" s="55" t="s">
        <v>97</v>
      </c>
      <c r="C187" s="57" t="s">
        <v>369</v>
      </c>
      <c r="D187" s="57" t="s">
        <v>199</v>
      </c>
      <c r="E187" s="46">
        <v>1</v>
      </c>
      <c r="F187" s="43" t="s">
        <v>465</v>
      </c>
      <c r="G187" s="44">
        <v>852.4</v>
      </c>
      <c r="H187" s="44">
        <v>566.5</v>
      </c>
      <c r="I187" s="45">
        <f t="shared" si="7"/>
        <v>1418.9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341</v>
      </c>
      <c r="B188" s="55" t="s">
        <v>342</v>
      </c>
      <c r="C188" s="57" t="s">
        <v>370</v>
      </c>
      <c r="D188" s="73" t="s">
        <v>199</v>
      </c>
      <c r="E188" s="46">
        <v>1</v>
      </c>
      <c r="F188" s="79" t="s">
        <v>496</v>
      </c>
      <c r="G188" s="44">
        <v>24932.44</v>
      </c>
      <c r="H188" s="44">
        <v>849.76</v>
      </c>
      <c r="I188" s="45">
        <f t="shared" si="7"/>
        <v>25782.199999999997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370</v>
      </c>
      <c r="D189" s="57" t="s">
        <v>181</v>
      </c>
      <c r="E189" s="46">
        <v>1</v>
      </c>
      <c r="F189" s="43" t="s">
        <v>467</v>
      </c>
      <c r="G189" s="44">
        <v>0</v>
      </c>
      <c r="H189" s="44">
        <v>566.5</v>
      </c>
      <c r="I189" s="45">
        <f t="shared" si="7"/>
        <v>566.5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371</v>
      </c>
      <c r="D190" s="73" t="s">
        <v>199</v>
      </c>
      <c r="E190" s="46">
        <v>1</v>
      </c>
      <c r="F190" s="79" t="s">
        <v>516</v>
      </c>
      <c r="G190" s="44">
        <v>16704.73</v>
      </c>
      <c r="H190" s="44">
        <v>566.5</v>
      </c>
      <c r="I190" s="45">
        <f t="shared" si="7"/>
        <v>17271.23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47" t="s">
        <v>346</v>
      </c>
      <c r="B191" s="55" t="s">
        <v>97</v>
      </c>
      <c r="C191" s="57" t="s">
        <v>372</v>
      </c>
      <c r="D191" s="57" t="s">
        <v>199</v>
      </c>
      <c r="E191" s="46">
        <v>1</v>
      </c>
      <c r="F191" s="43" t="s">
        <v>469</v>
      </c>
      <c r="G191" s="44">
        <v>853.96</v>
      </c>
      <c r="H191" s="44">
        <v>566.5</v>
      </c>
      <c r="I191" s="45">
        <f t="shared" si="7"/>
        <v>1420.46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340</v>
      </c>
      <c r="B192" s="55" t="s">
        <v>93</v>
      </c>
      <c r="C192" s="55" t="s">
        <v>373</v>
      </c>
      <c r="D192" s="57" t="s">
        <v>181</v>
      </c>
      <c r="E192" s="46">
        <v>1</v>
      </c>
      <c r="F192" s="72" t="s">
        <v>474</v>
      </c>
      <c r="G192" s="44">
        <v>0</v>
      </c>
      <c r="H192" s="44">
        <v>1392.8</v>
      </c>
      <c r="I192" s="45">
        <f t="shared" si="7"/>
        <v>1392.8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365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471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340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472</v>
      </c>
      <c r="G194" s="44">
        <v>837.26</v>
      </c>
      <c r="H194" s="44">
        <v>1392.8</v>
      </c>
      <c r="I194" s="45">
        <f t="shared" si="7"/>
        <v>2230.06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365</v>
      </c>
      <c r="B195" s="55" t="s">
        <v>93</v>
      </c>
      <c r="C195" s="55" t="s">
        <v>373</v>
      </c>
      <c r="D195" s="57" t="s">
        <v>199</v>
      </c>
      <c r="E195" s="46">
        <v>1</v>
      </c>
      <c r="F195" s="56" t="s">
        <v>473</v>
      </c>
      <c r="G195" s="44">
        <v>844.13</v>
      </c>
      <c r="H195" s="44">
        <v>1392.8</v>
      </c>
      <c r="I195" s="45">
        <f t="shared" si="7"/>
        <v>2236.9299999999998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346</v>
      </c>
      <c r="B196" s="55" t="s">
        <v>97</v>
      </c>
      <c r="C196" s="55" t="s">
        <v>373</v>
      </c>
      <c r="D196" s="73" t="s">
        <v>199</v>
      </c>
      <c r="E196" s="46">
        <v>1</v>
      </c>
      <c r="F196" s="89" t="s">
        <v>420</v>
      </c>
      <c r="G196" s="44">
        <v>953.37</v>
      </c>
      <c r="H196" s="44">
        <v>566.5</v>
      </c>
      <c r="I196" s="45">
        <f t="shared" si="7"/>
        <v>1519.87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475</v>
      </c>
      <c r="G197" s="44">
        <v>830.46</v>
      </c>
      <c r="H197" s="44">
        <v>1392.8</v>
      </c>
      <c r="I197" s="45">
        <f t="shared" si="7"/>
        <v>2223.2600000000002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x14ac:dyDescent="0.2">
      <c r="A198" s="56" t="s">
        <v>365</v>
      </c>
      <c r="B198" s="55" t="s">
        <v>93</v>
      </c>
      <c r="C198" s="55" t="s">
        <v>373</v>
      </c>
      <c r="D198" s="57" t="s">
        <v>199</v>
      </c>
      <c r="E198" s="46">
        <v>1</v>
      </c>
      <c r="F198" s="56" t="s">
        <v>476</v>
      </c>
      <c r="G198" s="44">
        <v>837.13</v>
      </c>
      <c r="H198" s="44">
        <v>1392.8</v>
      </c>
      <c r="I198" s="45">
        <f t="shared" si="7"/>
        <v>2229.9299999999998</v>
      </c>
      <c r="J198" s="21"/>
      <c r="K198" s="21"/>
      <c r="L198" s="21"/>
      <c r="M198" s="21"/>
      <c r="N198" s="21"/>
      <c r="O198" s="21"/>
      <c r="P198" s="21"/>
      <c r="Q198" s="21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45" x14ac:dyDescent="0.2">
      <c r="A199" s="63" t="s">
        <v>84</v>
      </c>
      <c r="B199" s="63" t="s">
        <v>85</v>
      </c>
      <c r="C199" s="35" t="s">
        <v>86</v>
      </c>
      <c r="D199" s="35" t="s">
        <v>87</v>
      </c>
      <c r="E199" s="35" t="s">
        <v>88</v>
      </c>
      <c r="F199" s="48"/>
      <c r="G199" s="35" t="s">
        <v>89</v>
      </c>
      <c r="H199" s="35" t="s">
        <v>90</v>
      </c>
      <c r="I199" s="35" t="s">
        <v>91</v>
      </c>
      <c r="J199" s="21"/>
      <c r="K199" s="21"/>
      <c r="L199" s="21"/>
      <c r="M199" s="21"/>
      <c r="N199" s="21"/>
      <c r="O199" s="21"/>
      <c r="P199" s="21"/>
      <c r="Q199" s="21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spans="1:30" x14ac:dyDescent="0.2">
      <c r="A200" s="58" t="s">
        <v>92</v>
      </c>
      <c r="B200" s="59" t="s">
        <v>93</v>
      </c>
      <c r="C200" s="28">
        <f>SUMIFS($E$95:$E$198,$B$95:$B$198,"FGS-1",$D$95:$D$198,"&lt;&gt;VAGO")</f>
        <v>43</v>
      </c>
      <c r="D200" s="28">
        <f>SUMIFS($E$95:$E$198,$B$95:$B$198,"FGS-1",$D$95:$D$198,"VAGO")</f>
        <v>1</v>
      </c>
      <c r="E200" s="28">
        <f t="shared" ref="E200:E205" si="8">C200+D200</f>
        <v>44</v>
      </c>
      <c r="F200" s="29"/>
      <c r="G200" s="45">
        <f>SUMIF($B$95:$B$198,"FGS-1",$G$95:$G$198)</f>
        <v>22749.31</v>
      </c>
      <c r="H200" s="45">
        <f>SUMIF($B$95:$B$198,"FGS-1",$H$95:$H$198)</f>
        <v>59890.400000000045</v>
      </c>
      <c r="I200" s="71">
        <f>SUMIF($B$95:$B$198,"FGS-1",$I$95:$I$198)</f>
        <v>82639.709999999992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94</v>
      </c>
      <c r="B201" s="59" t="s">
        <v>95</v>
      </c>
      <c r="C201" s="28">
        <f>SUMIFS($E$95:$E$198,$B$95:$B$198,"FGS-2",$D$95:$D$198,"&lt;&gt;VAGO")</f>
        <v>20</v>
      </c>
      <c r="D201" s="28">
        <f>SUMIFS($E$95:$E$198,$B$95:$B$198,"FGS-2",$D$95:$D$198,"VAGO")</f>
        <v>0</v>
      </c>
      <c r="E201" s="28">
        <f t="shared" si="8"/>
        <v>20</v>
      </c>
      <c r="F201" s="32"/>
      <c r="G201" s="45">
        <f>SUMIF($B$95:$B$198,"FGS-2",$G$95:$G$198)</f>
        <v>42121.279999999999</v>
      </c>
      <c r="H201" s="45">
        <f>SUMIF($B$95:$B$198,"FGS-2",$H$95:$H$198)</f>
        <v>16995.2</v>
      </c>
      <c r="I201" s="71">
        <f>SUMIF($B$95:$B$198,"FGS-2",$I$95:$I$198)</f>
        <v>59116.479999999989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58" t="s">
        <v>96</v>
      </c>
      <c r="B202" s="59" t="s">
        <v>97</v>
      </c>
      <c r="C202" s="28">
        <f>SUMIFS($E$95:$E$198,$B$95:$B$198,"FGS-3",$D$95:$D$198,"&lt;&gt;VAGO")</f>
        <v>32</v>
      </c>
      <c r="D202" s="28">
        <f>SUMIFS($E$95:$E$198,$B$95:$B$198,"FGS-3",$D$95:$D$198,"VAGO")</f>
        <v>0</v>
      </c>
      <c r="E202" s="28">
        <f t="shared" si="8"/>
        <v>32</v>
      </c>
      <c r="F202" s="32"/>
      <c r="G202" s="45">
        <f>SUMIF($B$95:$B$198,"FGS-3",$G$95:$G$198)</f>
        <v>51994.61</v>
      </c>
      <c r="H202" s="45">
        <f>SUMIF($B$95:$B$198,"FGS-3",$H$95:$H$198)</f>
        <v>18954.3</v>
      </c>
      <c r="I202" s="71">
        <f>SUMIF($B$95:$B$198,"FGS-3",$I$95:$I$198)</f>
        <v>70948.910000000018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60" t="s">
        <v>98</v>
      </c>
      <c r="B203" s="61" t="s">
        <v>99</v>
      </c>
      <c r="C203" s="28">
        <f>SUMIFS($E$95:$E$198,$B$95:$B$198,"FGA-1",$D$95:$D$198,"&lt;&gt;VAGO")</f>
        <v>5</v>
      </c>
      <c r="D203" s="28">
        <f>SUMIFS($E$95:$E$198,$B$95:$B$198,"FGA-1",$D$95:$D$198,"VAGO")</f>
        <v>0</v>
      </c>
      <c r="E203" s="28">
        <f t="shared" si="8"/>
        <v>5</v>
      </c>
      <c r="F203" s="34"/>
      <c r="G203" s="45">
        <f>SUMIF($B$95:$B$198,"FGA-1",$G$95:$G$198)</f>
        <v>5171.2</v>
      </c>
      <c r="H203" s="45">
        <f>SUMIF($B$95:$B$198,"FGA-1",$H$95:$H$198)</f>
        <v>2529.0500000000002</v>
      </c>
      <c r="I203" s="71">
        <f>SUMIF($B$95:$B$198,"FGA-1",$I$95:$I$198)</f>
        <v>7700.25</v>
      </c>
      <c r="J203" s="21"/>
      <c r="K203" s="21"/>
      <c r="L203" s="21"/>
      <c r="M203" s="21"/>
      <c r="N203" s="21"/>
      <c r="O203" s="21"/>
      <c r="P203" s="21"/>
      <c r="Q203" s="21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100</v>
      </c>
      <c r="B204" s="59" t="s">
        <v>101</v>
      </c>
      <c r="C204" s="28">
        <f>SUMIFS($E$95:$E$198,$B$95:$B$198,"FGA-2",$D$95:$D$198,"&lt;&gt;VAGO")</f>
        <v>2</v>
      </c>
      <c r="D204" s="28">
        <f>SUMIFS($E$95:$E$198,$B$95:$B$198,"FGA-2",$D$95:$D$198,"VAGO")</f>
        <v>0</v>
      </c>
      <c r="E204" s="28">
        <f t="shared" si="8"/>
        <v>2</v>
      </c>
      <c r="F204" s="34"/>
      <c r="G204" s="45">
        <f>SUMIF($B$95:$B$198,"FGA-2",$G$95:$G$198)</f>
        <v>2340.46</v>
      </c>
      <c r="H204" s="45">
        <f>SUMIF($B$95:$B$198,"FGA-2",$H$95:$H$198)</f>
        <v>1315.1100000000001</v>
      </c>
      <c r="I204" s="71">
        <f>SUMIF($B$95:$B$198,"FGA-2",$I$95:$I$198)</f>
        <v>3655.57</v>
      </c>
      <c r="J204" s="21"/>
      <c r="K204" s="21"/>
      <c r="L204" s="21"/>
      <c r="M204" s="21"/>
      <c r="N204" s="21"/>
      <c r="O204" s="21"/>
      <c r="P204" s="21"/>
      <c r="Q204" s="21"/>
      <c r="R204" s="40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1:30" x14ac:dyDescent="0.2">
      <c r="A205" s="58" t="s">
        <v>102</v>
      </c>
      <c r="B205" s="59" t="s">
        <v>103</v>
      </c>
      <c r="C205" s="28">
        <f>SUMIFS($E$95:$E$198,$B$95:$B$198,"FGA-3",$D$95:$D$198,"&lt;&gt;VAGO")</f>
        <v>1</v>
      </c>
      <c r="D205" s="28">
        <f>SUMIFS($E$95:$E$198,$B$95:$B$198,"FGA-3",$D$95:$D$198,"VAGO")</f>
        <v>0</v>
      </c>
      <c r="E205" s="28">
        <f t="shared" si="8"/>
        <v>1</v>
      </c>
      <c r="F205" s="32"/>
      <c r="G205" s="45">
        <f>SUMIF($B$95:$B$198,"FGA-3",$G$95:$G$198)</f>
        <v>1509.2</v>
      </c>
      <c r="H205" s="45">
        <f>SUMIF($B$95:$B$198,"FGA-3",$H$95:$H$198)</f>
        <v>364.17</v>
      </c>
      <c r="I205" s="71">
        <f>SUMIF($B$95:$B$198,"FGA-3",$I$95:$I$198)</f>
        <v>1873.3700000000001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0" x14ac:dyDescent="0.2">
      <c r="A206" s="63" t="s">
        <v>104</v>
      </c>
      <c r="B206" s="48"/>
      <c r="C206" s="35">
        <f t="shared" ref="C206:E206" si="9">SUM(C200:C205)</f>
        <v>103</v>
      </c>
      <c r="D206" s="35">
        <f t="shared" si="9"/>
        <v>1</v>
      </c>
      <c r="E206" s="35">
        <f t="shared" si="9"/>
        <v>104</v>
      </c>
      <c r="F206" s="48"/>
      <c r="G206" s="51">
        <f t="shared" ref="G206:I206" si="10">SUM(G200:G205)</f>
        <v>125886.06</v>
      </c>
      <c r="H206" s="51">
        <f t="shared" si="10"/>
        <v>100048.23000000005</v>
      </c>
      <c r="I206" s="51">
        <f t="shared" si="10"/>
        <v>225934.28999999998</v>
      </c>
      <c r="J206" s="21"/>
      <c r="K206" s="21"/>
      <c r="L206" s="21"/>
      <c r="M206" s="21"/>
      <c r="N206" s="21"/>
      <c r="O206" s="21"/>
      <c r="P206" s="21"/>
      <c r="Q206" s="21"/>
      <c r="R206" s="49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spans="1:30" ht="33" customHeight="1" x14ac:dyDescent="0.2">
      <c r="A207" s="37"/>
      <c r="B207" s="37"/>
      <c r="C207" s="37"/>
      <c r="D207" s="37"/>
      <c r="E207" s="37"/>
      <c r="F207" s="37"/>
      <c r="G207" s="37"/>
      <c r="H207" s="37"/>
      <c r="I207" s="62"/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45" x14ac:dyDescent="0.2">
      <c r="A208" s="63"/>
      <c r="B208" s="63"/>
      <c r="C208" s="35" t="s">
        <v>105</v>
      </c>
      <c r="D208" s="35" t="s">
        <v>106</v>
      </c>
      <c r="E208" s="35" t="s">
        <v>107</v>
      </c>
      <c r="F208" s="25"/>
      <c r="G208" s="35" t="s">
        <v>108</v>
      </c>
      <c r="H208" s="35" t="s">
        <v>109</v>
      </c>
      <c r="I208" s="35" t="s">
        <v>110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x14ac:dyDescent="0.2">
      <c r="A209" s="63" t="s">
        <v>111</v>
      </c>
      <c r="B209" s="25"/>
      <c r="C209" s="35">
        <f>SUM(C39+C91+C206)</f>
        <v>158</v>
      </c>
      <c r="D209" s="35">
        <f>SUM(D39+D91+D206)</f>
        <v>8</v>
      </c>
      <c r="E209" s="35">
        <f>SUM(E39+E91+E206)</f>
        <v>166</v>
      </c>
      <c r="F209" s="25"/>
      <c r="G209" s="51">
        <f>SUM(H39+G91+G206)</f>
        <v>214874.09999999998</v>
      </c>
      <c r="H209" s="51">
        <f>SUM(I39+H91+H206)</f>
        <v>319627.90000000008</v>
      </c>
      <c r="I209" s="51">
        <f>SUM(J39+I91+I206)</f>
        <v>552502</v>
      </c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ht="30" customHeight="1" x14ac:dyDescent="0.2">
      <c r="A210" s="37"/>
      <c r="B210" s="37"/>
      <c r="C210" s="37"/>
      <c r="D210" s="37"/>
      <c r="E210" s="37"/>
      <c r="F210" s="37"/>
      <c r="G210" s="37"/>
      <c r="H210" s="37"/>
      <c r="I210" s="62"/>
      <c r="J210" s="62"/>
      <c r="K210" s="7"/>
      <c r="L210" s="62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">
      <c r="A211" s="100" t="s">
        <v>112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21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113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1" t="s">
        <v>482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483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481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ht="15" customHeight="1" x14ac:dyDescent="0.2">
      <c r="A216" s="102" t="s">
        <v>480</v>
      </c>
      <c r="B216" s="93"/>
      <c r="C216" s="93"/>
      <c r="D216" s="93"/>
      <c r="E216" s="93"/>
      <c r="F216" s="94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3"/>
      <c r="B217" s="96"/>
      <c r="C217" s="96"/>
      <c r="D217" s="96"/>
      <c r="E217" s="96"/>
      <c r="F217" s="96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0" t="s">
        <v>114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104" t="s">
        <v>115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116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117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118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119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120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121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122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123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124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125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126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127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128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129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130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131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132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133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134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135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136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137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40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1:30" x14ac:dyDescent="0.2">
      <c r="A242" s="92" t="s">
        <v>138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139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140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141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142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143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144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145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146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147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148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149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150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151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152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153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154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x14ac:dyDescent="0.2">
      <c r="A259" s="92" t="s">
        <v>155</v>
      </c>
      <c r="B259" s="93"/>
      <c r="C259" s="93"/>
      <c r="D259" s="93"/>
      <c r="E259" s="93"/>
      <c r="F259" s="94"/>
      <c r="G259" s="21"/>
      <c r="H259" s="37"/>
      <c r="I259" s="37"/>
      <c r="J259" s="37"/>
      <c r="K259" s="37"/>
      <c r="L259" s="37"/>
      <c r="M259" s="62"/>
      <c r="N259" s="62"/>
      <c r="O259" s="62"/>
      <c r="P259" s="62"/>
      <c r="Q259" s="62"/>
      <c r="R259" s="64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156</v>
      </c>
      <c r="B260" s="93"/>
      <c r="C260" s="93"/>
      <c r="D260" s="93"/>
      <c r="E260" s="93"/>
      <c r="F260" s="94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157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158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159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160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161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162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163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164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165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166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167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168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169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170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171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172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173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174</v>
      </c>
      <c r="B278" s="93"/>
      <c r="C278" s="93"/>
      <c r="D278" s="93"/>
      <c r="E278" s="93"/>
      <c r="F278" s="94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92" t="s">
        <v>175</v>
      </c>
      <c r="B279" s="93"/>
      <c r="C279" s="93"/>
      <c r="D279" s="93"/>
      <c r="E279" s="93"/>
      <c r="F279" s="94"/>
      <c r="G279" s="68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</row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</sheetData>
  <mergeCells count="76">
    <mergeCell ref="A41:I41"/>
    <mergeCell ref="A1:J1"/>
    <mergeCell ref="A2:J2"/>
    <mergeCell ref="A3:J3"/>
    <mergeCell ref="B4:J4"/>
    <mergeCell ref="A5:J5"/>
    <mergeCell ref="A221:F221"/>
    <mergeCell ref="A93:I93"/>
    <mergeCell ref="A211:F211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20:F220"/>
    <mergeCell ref="A233:F233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32:F232"/>
    <mergeCell ref="A245:F245"/>
    <mergeCell ref="A234:F234"/>
    <mergeCell ref="A235:F235"/>
    <mergeCell ref="A236:F236"/>
    <mergeCell ref="A237:F237"/>
    <mergeCell ref="A238:F238"/>
    <mergeCell ref="A239:F239"/>
    <mergeCell ref="A240:F240"/>
    <mergeCell ref="A241:F241"/>
    <mergeCell ref="A242:F242"/>
    <mergeCell ref="A243:F243"/>
    <mergeCell ref="A244:F244"/>
    <mergeCell ref="A257:F257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F255"/>
    <mergeCell ref="A256:F256"/>
    <mergeCell ref="A269:F269"/>
    <mergeCell ref="A258:F258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68:F268"/>
    <mergeCell ref="A276:F276"/>
    <mergeCell ref="A277:F277"/>
    <mergeCell ref="A278:F278"/>
    <mergeCell ref="A279:F279"/>
    <mergeCell ref="A270:F270"/>
    <mergeCell ref="A271:F271"/>
    <mergeCell ref="A272:F272"/>
    <mergeCell ref="A273:F273"/>
    <mergeCell ref="A274:F274"/>
    <mergeCell ref="A275:F275"/>
  </mergeCells>
  <dataValidations count="4">
    <dataValidation type="list" allowBlank="1" sqref="B7:B26">
      <formula1>"DAS,DAS-1,DAS-2,DAS-3,DAS-4,DAS-5,CAA-1,CAA-2,CAA-3,CAA-4,CAA-5"</formula1>
    </dataValidation>
    <dataValidation type="list" allowBlank="1" sqref="B95:B198">
      <formula1>"FGS-1,FGS-2,FGS-3,FGA-1,FGA-2,FGA-3"</formula1>
    </dataValidation>
    <dataValidation type="list" allowBlank="1" sqref="D95:D198 D7:D26 D43:D84">
      <formula1>"AGP,CLH,CLT,COM,CTD,CTI,DES,DISP,ELE,ESG,EST,EXM,EXQ,EXR,FRQ,REV,VAGO"</formula1>
    </dataValidation>
    <dataValidation type="list" allowBlank="1" sqref="B43:B84">
      <formula1>"FDA,FDA-1,FDA-2,FDA-3,FDA-4"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9"/>
  <sheetViews>
    <sheetView topLeftCell="B160" zoomScale="70" zoomScaleNormal="70" workbookViewId="0">
      <selection activeCell="H178" sqref="H178"/>
    </sheetView>
  </sheetViews>
  <sheetFormatPr defaultColWidth="12.625" defaultRowHeight="15" customHeight="1" x14ac:dyDescent="0.2"/>
  <cols>
    <col min="1" max="1" width="69.75" style="90" bestFit="1" customWidth="1"/>
    <col min="2" max="2" width="9.75" style="90" bestFit="1" customWidth="1"/>
    <col min="3" max="3" width="24" style="90" bestFit="1" customWidth="1"/>
    <col min="4" max="4" width="12.25" style="90" bestFit="1" customWidth="1"/>
    <col min="5" max="5" width="9.25" style="90" bestFit="1" customWidth="1"/>
    <col min="6" max="6" width="44.125" style="90" bestFit="1" customWidth="1"/>
    <col min="7" max="7" width="17.5" style="90" bestFit="1" customWidth="1"/>
    <col min="8" max="8" width="17.875" style="90" bestFit="1" customWidth="1"/>
    <col min="9" max="9" width="17.875" style="90" customWidth="1"/>
    <col min="10" max="10" width="15" style="90" customWidth="1"/>
    <col min="11" max="16" width="8" style="90" customWidth="1"/>
    <col min="17" max="17" width="43.875" style="90" customWidth="1"/>
    <col min="18" max="30" width="8" style="90" customWidth="1"/>
    <col min="31" max="16384" width="12.625" style="90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517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2" t="s">
        <v>182</v>
      </c>
      <c r="B8" s="57" t="s">
        <v>41</v>
      </c>
      <c r="C8" s="57" t="s">
        <v>178</v>
      </c>
      <c r="D8" s="57" t="s">
        <v>183</v>
      </c>
      <c r="E8" s="46">
        <v>1</v>
      </c>
      <c r="F8" s="47" t="s">
        <v>183</v>
      </c>
      <c r="G8" s="44">
        <v>0</v>
      </c>
      <c r="H8" s="44">
        <v>0</v>
      </c>
      <c r="I8" s="44">
        <v>0</v>
      </c>
      <c r="J8" s="45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7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184</v>
      </c>
      <c r="B11" s="57" t="s">
        <v>43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185</v>
      </c>
      <c r="B12" s="57" t="s">
        <v>33</v>
      </c>
      <c r="C12" s="57" t="s">
        <v>178</v>
      </c>
      <c r="D12" s="73" t="s">
        <v>199</v>
      </c>
      <c r="E12" s="46">
        <v>1</v>
      </c>
      <c r="F12" s="47" t="s">
        <v>436</v>
      </c>
      <c r="G12" s="44">
        <v>0</v>
      </c>
      <c r="H12" s="44">
        <v>809.06</v>
      </c>
      <c r="I12" s="44">
        <v>4316.21</v>
      </c>
      <c r="J12" s="45">
        <f t="shared" si="0"/>
        <v>5125.2700000000004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186</v>
      </c>
      <c r="B13" s="57" t="s">
        <v>39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187</v>
      </c>
      <c r="B14" s="57" t="s">
        <v>37</v>
      </c>
      <c r="C14" s="57" t="s">
        <v>178</v>
      </c>
      <c r="D14" s="57" t="s">
        <v>188</v>
      </c>
      <c r="E14" s="46">
        <v>1</v>
      </c>
      <c r="F14" s="47" t="s">
        <v>213</v>
      </c>
      <c r="G14" s="44">
        <v>0</v>
      </c>
      <c r="H14" s="44">
        <v>0</v>
      </c>
      <c r="I14" s="44">
        <v>3083.01</v>
      </c>
      <c r="J14" s="45">
        <f t="shared" si="0"/>
        <v>3083.01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189</v>
      </c>
      <c r="B15" s="57" t="s">
        <v>39</v>
      </c>
      <c r="C15" s="57" t="s">
        <v>190</v>
      </c>
      <c r="D15" s="57" t="s">
        <v>183</v>
      </c>
      <c r="E15" s="46">
        <v>1</v>
      </c>
      <c r="F15" s="47" t="s">
        <v>183</v>
      </c>
      <c r="G15" s="44">
        <v>0</v>
      </c>
      <c r="H15" s="44">
        <v>0</v>
      </c>
      <c r="I15" s="44">
        <v>0</v>
      </c>
      <c r="J15" s="45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191</v>
      </c>
      <c r="B16" s="57" t="s">
        <v>25</v>
      </c>
      <c r="C16" s="57" t="s">
        <v>192</v>
      </c>
      <c r="D16" s="57" t="s">
        <v>181</v>
      </c>
      <c r="E16" s="46">
        <v>1</v>
      </c>
      <c r="F16" s="47" t="s">
        <v>214</v>
      </c>
      <c r="G16" s="44">
        <v>0</v>
      </c>
      <c r="H16" s="44">
        <v>0</v>
      </c>
      <c r="I16" s="44">
        <v>10400</v>
      </c>
      <c r="J16" s="45">
        <f t="shared" si="0"/>
        <v>10400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72" t="s">
        <v>499</v>
      </c>
      <c r="B17" s="57" t="s">
        <v>25</v>
      </c>
      <c r="C17" s="73" t="s">
        <v>178</v>
      </c>
      <c r="D17" s="73" t="s">
        <v>199</v>
      </c>
      <c r="E17" s="46">
        <v>1</v>
      </c>
      <c r="F17" s="72" t="s">
        <v>500</v>
      </c>
      <c r="G17" s="44">
        <v>0</v>
      </c>
      <c r="H17" s="44">
        <v>15956.74</v>
      </c>
      <c r="I17" s="44">
        <v>10053.33</v>
      </c>
      <c r="J17" s="45">
        <f t="shared" si="0"/>
        <v>26010.07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73" t="s">
        <v>199</v>
      </c>
      <c r="E19" s="46">
        <v>1</v>
      </c>
      <c r="F19" s="47" t="s">
        <v>431</v>
      </c>
      <c r="G19" s="44">
        <v>0</v>
      </c>
      <c r="H19" s="44">
        <v>1509.2</v>
      </c>
      <c r="I19" s="44">
        <v>4316.21</v>
      </c>
      <c r="J19" s="45">
        <f t="shared" si="0"/>
        <v>5825.41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181</v>
      </c>
      <c r="E21" s="46">
        <v>1</v>
      </c>
      <c r="F21" s="72" t="s">
        <v>497</v>
      </c>
      <c r="G21" s="44">
        <v>0</v>
      </c>
      <c r="H21" s="44">
        <v>0</v>
      </c>
      <c r="I21" s="44">
        <v>3083.01</v>
      </c>
      <c r="J21" s="45">
        <f t="shared" si="0"/>
        <v>3083.01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181</v>
      </c>
      <c r="E22" s="46">
        <v>1</v>
      </c>
      <c r="F22" s="47" t="s">
        <v>498</v>
      </c>
      <c r="G22" s="44">
        <v>0</v>
      </c>
      <c r="H22" s="44">
        <v>0</v>
      </c>
      <c r="I22" s="44">
        <v>4316.21</v>
      </c>
      <c r="J22" s="45">
        <f t="shared" si="0"/>
        <v>4316.21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73" t="s">
        <v>199</v>
      </c>
      <c r="E23" s="46">
        <v>1</v>
      </c>
      <c r="F23" s="72" t="s">
        <v>513</v>
      </c>
      <c r="G23" s="44">
        <v>0</v>
      </c>
      <c r="H23" s="44">
        <v>809.06</v>
      </c>
      <c r="I23" s="44">
        <v>0</v>
      </c>
      <c r="J23" s="45">
        <f t="shared" si="0"/>
        <v>809.06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188</v>
      </c>
      <c r="E26" s="46">
        <v>1</v>
      </c>
      <c r="F26" s="72" t="s">
        <v>501</v>
      </c>
      <c r="G26" s="44">
        <v>0</v>
      </c>
      <c r="H26" s="44">
        <v>1266.5999999999999</v>
      </c>
      <c r="I26" s="44">
        <v>5066.41</v>
      </c>
      <c r="J26" s="45">
        <f t="shared" si="0"/>
        <v>6333.01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2</v>
      </c>
      <c r="D29" s="28">
        <f>SUMIFS($E$7:$E$26,$B$7:$B$26,"DAS-1",$D$7:$D$26,"VAGO")</f>
        <v>0</v>
      </c>
      <c r="E29" s="28">
        <f t="shared" si="1"/>
        <v>2</v>
      </c>
      <c r="F29" s="32"/>
      <c r="G29" s="30">
        <f>SUMIF($B$7:$B$26,"DAS-1",$G$7:$G$26)</f>
        <v>0</v>
      </c>
      <c r="H29" s="30">
        <f>SUMIF($B$7:$B$26,"DAS-1",$H$7:$H$26)</f>
        <v>15956.74</v>
      </c>
      <c r="I29" s="30">
        <f>SUMIF($B$7:$B$26,"DAS-1",$I$7:$I$26)</f>
        <v>20453.330000000002</v>
      </c>
      <c r="J29" s="30">
        <f>SUMIF($B$7:$B$26,"DAS-1",$J$7:$J$26)</f>
        <v>36410.07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0</v>
      </c>
      <c r="D31" s="28">
        <f>SUMIFS($E$7:$E$26,$B$7:$B$26,"DAS-3",$D$7:$D$26,"VAGO")</f>
        <v>0</v>
      </c>
      <c r="E31" s="28">
        <f t="shared" si="1"/>
        <v>0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0</v>
      </c>
      <c r="J31" s="30">
        <f>SUMIF($B$7:$B$26,"DAS-3",$J$7:$J$26)</f>
        <v>0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1</v>
      </c>
      <c r="D32" s="28">
        <f>SUMIFS($E$7:$E$26,$B$7:$B$26,"DAS-4",$D$7:$D$26,"VAGO")</f>
        <v>0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1266.5999999999999</v>
      </c>
      <c r="I32" s="30">
        <f>SUMIF($B$7:$B$26,"DAS-4",$I$7:$I$26)</f>
        <v>5066.41</v>
      </c>
      <c r="J32" s="30">
        <f>SUMIF($B$7:$B$26,"DAS-4",$J$7:$J$26)</f>
        <v>6333.01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5</v>
      </c>
      <c r="D33" s="28">
        <f>SUMIFS($E$7:$E$26,$B$7:$B$26,"DAS-5",$D$7:$D$26,"VAGO")</f>
        <v>0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3427.42</v>
      </c>
      <c r="I33" s="30">
        <f>SUMIF($B$7:$B$26,"DAS-5",$I$7:$I$26)</f>
        <v>21581.05</v>
      </c>
      <c r="J33" s="30">
        <f>SUMIF($B$7:$B$26,"DAS-5",$J$7:$J$26)</f>
        <v>25008.469999999998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4</v>
      </c>
      <c r="D35" s="28">
        <f>SUMIFS($E$7:$E$26,$B$7:$B$26,"CAA-2",$D$7:$D$26,"VAGO")</f>
        <v>1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25741.5</v>
      </c>
      <c r="I35" s="30">
        <f>SUMIF($B$7:$B$26,"CAA-2",$I$7:$I$26)</f>
        <v>9249.0300000000007</v>
      </c>
      <c r="J35" s="30">
        <f>SUMIF($B$7:$B$26,"CAA-2",$J$7:$J$26)</f>
        <v>34990.53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13</v>
      </c>
      <c r="D39" s="35">
        <f>SUM(D28:D38)</f>
        <v>7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46392.26</v>
      </c>
      <c r="I39" s="36">
        <f t="shared" si="2"/>
        <v>56349.82</v>
      </c>
      <c r="J39" s="36">
        <f t="shared" si="2"/>
        <v>120742.08</v>
      </c>
      <c r="K39" s="37"/>
      <c r="L39" s="37"/>
      <c r="M39" s="37"/>
      <c r="N39" s="37"/>
      <c r="O39" s="37"/>
      <c r="P39" s="37"/>
      <c r="Q39" s="37"/>
    </row>
    <row r="40" spans="1:30" ht="45.75" customHeight="1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4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180</v>
      </c>
      <c r="B44" s="42" t="s">
        <v>66</v>
      </c>
      <c r="C44" s="57" t="s">
        <v>178</v>
      </c>
      <c r="D44" s="57" t="s">
        <v>181</v>
      </c>
      <c r="E44" s="46">
        <v>1</v>
      </c>
      <c r="F44" s="72" t="s">
        <v>306</v>
      </c>
      <c r="G44" s="44">
        <v>0</v>
      </c>
      <c r="H44" s="44">
        <v>5688.14</v>
      </c>
      <c r="I44" s="45">
        <f t="shared" si="3"/>
        <v>5688.14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72" t="s">
        <v>222</v>
      </c>
      <c r="B45" s="42" t="s">
        <v>68</v>
      </c>
      <c r="C45" s="57" t="s">
        <v>223</v>
      </c>
      <c r="D45" s="57" t="s">
        <v>199</v>
      </c>
      <c r="E45" s="46">
        <v>1</v>
      </c>
      <c r="F45" s="43" t="s">
        <v>301</v>
      </c>
      <c r="G45" s="44">
        <v>16704.73</v>
      </c>
      <c r="H45" s="44">
        <v>5241.1099999999997</v>
      </c>
      <c r="I45" s="45">
        <f t="shared" si="3"/>
        <v>21945.84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224</v>
      </c>
      <c r="B46" s="42" t="s">
        <v>72</v>
      </c>
      <c r="C46" s="57" t="s">
        <v>225</v>
      </c>
      <c r="D46" s="57" t="s">
        <v>181</v>
      </c>
      <c r="E46" s="46">
        <v>1</v>
      </c>
      <c r="F46" s="47" t="s">
        <v>302</v>
      </c>
      <c r="G46" s="44">
        <v>0</v>
      </c>
      <c r="H46" s="44">
        <v>3083.01</v>
      </c>
      <c r="I46" s="45">
        <f t="shared" si="3"/>
        <v>3083.01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226</v>
      </c>
      <c r="B47" s="42" t="s">
        <v>66</v>
      </c>
      <c r="C47" s="57" t="s">
        <v>227</v>
      </c>
      <c r="D47" s="57" t="s">
        <v>181</v>
      </c>
      <c r="E47" s="46">
        <v>1</v>
      </c>
      <c r="F47" s="47" t="s">
        <v>303</v>
      </c>
      <c r="G47" s="44">
        <v>0</v>
      </c>
      <c r="H47" s="44">
        <v>5703.56</v>
      </c>
      <c r="I47" s="45">
        <f t="shared" si="3"/>
        <v>5703.56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228</v>
      </c>
      <c r="B48" s="42" t="s">
        <v>72</v>
      </c>
      <c r="C48" s="57" t="s">
        <v>229</v>
      </c>
      <c r="D48" s="57" t="s">
        <v>181</v>
      </c>
      <c r="E48" s="46">
        <v>1</v>
      </c>
      <c r="F48" s="47" t="s">
        <v>304</v>
      </c>
      <c r="G48" s="44">
        <v>0</v>
      </c>
      <c r="H48" s="44">
        <v>3083.01</v>
      </c>
      <c r="I48" s="45">
        <f t="shared" si="3"/>
        <v>3083.01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230</v>
      </c>
      <c r="B49" s="42" t="s">
        <v>68</v>
      </c>
      <c r="C49" s="57" t="s">
        <v>231</v>
      </c>
      <c r="D49" s="57" t="s">
        <v>199</v>
      </c>
      <c r="E49" s="46">
        <v>1</v>
      </c>
      <c r="F49" s="47" t="s">
        <v>305</v>
      </c>
      <c r="G49" s="44">
        <v>16704.73</v>
      </c>
      <c r="H49" s="44">
        <v>5241.1099999999997</v>
      </c>
      <c r="I49" s="45">
        <f t="shared" si="3"/>
        <v>21945.84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232</v>
      </c>
      <c r="B50" s="42" t="s">
        <v>68</v>
      </c>
      <c r="C50" s="57" t="s">
        <v>233</v>
      </c>
      <c r="D50" s="57" t="s">
        <v>199</v>
      </c>
      <c r="E50" s="46">
        <v>1</v>
      </c>
      <c r="F50" s="72" t="s">
        <v>494</v>
      </c>
      <c r="G50" s="44">
        <v>1509.2</v>
      </c>
      <c r="H50" s="44">
        <v>5241.1099999999997</v>
      </c>
      <c r="I50" s="45">
        <f t="shared" si="3"/>
        <v>6750.3099999999995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234</v>
      </c>
      <c r="B51" s="42" t="s">
        <v>68</v>
      </c>
      <c r="C51" s="57" t="s">
        <v>223</v>
      </c>
      <c r="D51" s="57" t="s">
        <v>199</v>
      </c>
      <c r="E51" s="46">
        <v>1</v>
      </c>
      <c r="F51" s="47" t="s">
        <v>504</v>
      </c>
      <c r="G51" s="44">
        <v>809.06</v>
      </c>
      <c r="H51" s="44">
        <v>5241.1099999999997</v>
      </c>
      <c r="I51" s="45">
        <f t="shared" si="3"/>
        <v>6050.17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235</v>
      </c>
      <c r="B52" s="42" t="s">
        <v>66</v>
      </c>
      <c r="C52" s="57" t="s">
        <v>236</v>
      </c>
      <c r="D52" s="57" t="s">
        <v>181</v>
      </c>
      <c r="E52" s="46">
        <v>1</v>
      </c>
      <c r="F52" s="47" t="s">
        <v>308</v>
      </c>
      <c r="G52" s="44">
        <v>0</v>
      </c>
      <c r="H52" s="44">
        <v>5703.56</v>
      </c>
      <c r="I52" s="45">
        <f t="shared" si="3"/>
        <v>5703.56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237</v>
      </c>
      <c r="B53" s="42" t="s">
        <v>72</v>
      </c>
      <c r="C53" s="57" t="s">
        <v>238</v>
      </c>
      <c r="D53" s="57" t="s">
        <v>181</v>
      </c>
      <c r="E53" s="46">
        <v>1</v>
      </c>
      <c r="F53" s="47" t="s">
        <v>309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239</v>
      </c>
      <c r="B54" s="42" t="s">
        <v>72</v>
      </c>
      <c r="C54" s="57" t="s">
        <v>240</v>
      </c>
      <c r="D54" s="57" t="s">
        <v>181</v>
      </c>
      <c r="E54" s="46">
        <v>1</v>
      </c>
      <c r="F54" s="47" t="s">
        <v>310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241</v>
      </c>
      <c r="B55" s="42" t="s">
        <v>72</v>
      </c>
      <c r="C55" s="57" t="s">
        <v>242</v>
      </c>
      <c r="D55" s="57" t="s">
        <v>181</v>
      </c>
      <c r="E55" s="46">
        <v>1</v>
      </c>
      <c r="F55" s="47" t="s">
        <v>311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243</v>
      </c>
      <c r="B56" s="42" t="s">
        <v>72</v>
      </c>
      <c r="C56" s="57" t="s">
        <v>244</v>
      </c>
      <c r="D56" s="57" t="s">
        <v>181</v>
      </c>
      <c r="E56" s="46">
        <v>1</v>
      </c>
      <c r="F56" s="47" t="s">
        <v>312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245</v>
      </c>
      <c r="B57" s="42" t="s">
        <v>72</v>
      </c>
      <c r="C57" s="57" t="s">
        <v>246</v>
      </c>
      <c r="D57" s="57" t="s">
        <v>181</v>
      </c>
      <c r="E57" s="46">
        <v>1</v>
      </c>
      <c r="F57" s="47" t="s">
        <v>313</v>
      </c>
      <c r="G57" s="44">
        <v>0</v>
      </c>
      <c r="H57" s="44">
        <v>3083.01</v>
      </c>
      <c r="I57" s="45">
        <f t="shared" si="3"/>
        <v>3083.01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247</v>
      </c>
      <c r="B58" s="42" t="s">
        <v>66</v>
      </c>
      <c r="C58" s="57" t="s">
        <v>248</v>
      </c>
      <c r="D58" s="57" t="s">
        <v>181</v>
      </c>
      <c r="E58" s="46">
        <v>1</v>
      </c>
      <c r="F58" s="76" t="s">
        <v>317</v>
      </c>
      <c r="G58" s="44">
        <v>0</v>
      </c>
      <c r="H58" s="44">
        <v>5703.56</v>
      </c>
      <c r="I58" s="45">
        <f t="shared" si="3"/>
        <v>5703.56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249</v>
      </c>
      <c r="B59" s="42" t="s">
        <v>72</v>
      </c>
      <c r="C59" s="57" t="s">
        <v>250</v>
      </c>
      <c r="D59" s="57" t="s">
        <v>181</v>
      </c>
      <c r="E59" s="46">
        <v>1</v>
      </c>
      <c r="F59" s="47" t="s">
        <v>315</v>
      </c>
      <c r="G59" s="44">
        <v>0</v>
      </c>
      <c r="H59" s="44">
        <v>3083.01</v>
      </c>
      <c r="I59" s="45">
        <f t="shared" si="3"/>
        <v>3083.01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251</v>
      </c>
      <c r="B60" s="42" t="s">
        <v>72</v>
      </c>
      <c r="C60" s="57" t="s">
        <v>252</v>
      </c>
      <c r="D60" s="57" t="s">
        <v>199</v>
      </c>
      <c r="E60" s="46">
        <v>1</v>
      </c>
      <c r="F60" s="47" t="s">
        <v>316</v>
      </c>
      <c r="G60" s="44">
        <v>831.26</v>
      </c>
      <c r="H60" s="44">
        <v>3083.01</v>
      </c>
      <c r="I60" s="45">
        <f t="shared" si="3"/>
        <v>3914.2700000000004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253</v>
      </c>
      <c r="B61" s="42" t="s">
        <v>70</v>
      </c>
      <c r="C61" s="57" t="s">
        <v>254</v>
      </c>
      <c r="D61" s="73" t="s">
        <v>181</v>
      </c>
      <c r="E61" s="46">
        <v>1</v>
      </c>
      <c r="F61" s="72" t="s">
        <v>514</v>
      </c>
      <c r="G61" s="44">
        <v>0</v>
      </c>
      <c r="H61" s="44">
        <v>4316.21</v>
      </c>
      <c r="I61" s="45">
        <f t="shared" si="3"/>
        <v>4316.21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255</v>
      </c>
      <c r="B62" s="42" t="s">
        <v>72</v>
      </c>
      <c r="C62" s="57" t="s">
        <v>256</v>
      </c>
      <c r="D62" s="73" t="s">
        <v>199</v>
      </c>
      <c r="E62" s="46">
        <v>1</v>
      </c>
      <c r="F62" s="72" t="s">
        <v>515</v>
      </c>
      <c r="G62" s="44">
        <v>1509.2</v>
      </c>
      <c r="H62" s="44">
        <v>3083.01</v>
      </c>
      <c r="I62" s="45">
        <f t="shared" si="3"/>
        <v>4592.21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257</v>
      </c>
      <c r="B63" s="42" t="s">
        <v>72</v>
      </c>
      <c r="C63" s="57" t="s">
        <v>258</v>
      </c>
      <c r="D63" s="57" t="s">
        <v>181</v>
      </c>
      <c r="E63" s="46">
        <v>1</v>
      </c>
      <c r="F63" s="47" t="s">
        <v>319</v>
      </c>
      <c r="G63" s="44">
        <v>0</v>
      </c>
      <c r="H63" s="44">
        <v>3083.01</v>
      </c>
      <c r="I63" s="45">
        <f t="shared" si="3"/>
        <v>3083.01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259</v>
      </c>
      <c r="B64" s="42" t="s">
        <v>66</v>
      </c>
      <c r="C64" s="57" t="s">
        <v>260</v>
      </c>
      <c r="D64" s="57" t="s">
        <v>181</v>
      </c>
      <c r="E64" s="46">
        <v>1</v>
      </c>
      <c r="F64" s="47" t="s">
        <v>320</v>
      </c>
      <c r="G64" s="44">
        <v>0</v>
      </c>
      <c r="H64" s="44">
        <v>5703.56</v>
      </c>
      <c r="I64" s="45">
        <f t="shared" si="3"/>
        <v>5703.56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261</v>
      </c>
      <c r="B65" s="42" t="s">
        <v>72</v>
      </c>
      <c r="C65" s="57" t="s">
        <v>262</v>
      </c>
      <c r="D65" s="57" t="s">
        <v>181</v>
      </c>
      <c r="E65" s="46">
        <v>1</v>
      </c>
      <c r="F65" s="47" t="s">
        <v>321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263</v>
      </c>
      <c r="B66" s="42" t="s">
        <v>72</v>
      </c>
      <c r="C66" s="57" t="s">
        <v>264</v>
      </c>
      <c r="D66" s="57" t="s">
        <v>181</v>
      </c>
      <c r="E66" s="46">
        <v>1</v>
      </c>
      <c r="F66" s="47" t="s">
        <v>322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265</v>
      </c>
      <c r="B67" s="42" t="s">
        <v>72</v>
      </c>
      <c r="C67" s="57" t="s">
        <v>266</v>
      </c>
      <c r="D67" s="57" t="s">
        <v>181</v>
      </c>
      <c r="E67" s="46">
        <v>1</v>
      </c>
      <c r="F67" s="47" t="s">
        <v>323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267</v>
      </c>
      <c r="B68" s="42" t="s">
        <v>72</v>
      </c>
      <c r="C68" s="57" t="s">
        <v>268</v>
      </c>
      <c r="D68" s="57" t="s">
        <v>181</v>
      </c>
      <c r="E68" s="46">
        <v>1</v>
      </c>
      <c r="F68" s="47" t="s">
        <v>324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269</v>
      </c>
      <c r="B69" s="42" t="s">
        <v>72</v>
      </c>
      <c r="C69" s="57" t="s">
        <v>270</v>
      </c>
      <c r="D69" s="57" t="s">
        <v>181</v>
      </c>
      <c r="E69" s="46">
        <v>1</v>
      </c>
      <c r="F69" s="47" t="s">
        <v>325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271</v>
      </c>
      <c r="B70" s="42" t="s">
        <v>72</v>
      </c>
      <c r="C70" s="57" t="s">
        <v>272</v>
      </c>
      <c r="D70" s="57" t="s">
        <v>181</v>
      </c>
      <c r="E70" s="46">
        <v>1</v>
      </c>
      <c r="F70" s="47" t="s">
        <v>326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273</v>
      </c>
      <c r="B71" s="42" t="s">
        <v>72</v>
      </c>
      <c r="C71" s="57" t="s">
        <v>274</v>
      </c>
      <c r="D71" s="57" t="s">
        <v>181</v>
      </c>
      <c r="E71" s="46">
        <v>1</v>
      </c>
      <c r="F71" s="47" t="s">
        <v>327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275</v>
      </c>
      <c r="B72" s="42" t="s">
        <v>72</v>
      </c>
      <c r="C72" s="57" t="s">
        <v>260</v>
      </c>
      <c r="D72" s="57" t="s">
        <v>181</v>
      </c>
      <c r="E72" s="46">
        <v>1</v>
      </c>
      <c r="F72" s="47" t="s">
        <v>328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276</v>
      </c>
      <c r="B73" s="42" t="s">
        <v>72</v>
      </c>
      <c r="C73" s="57" t="s">
        <v>277</v>
      </c>
      <c r="D73" s="57" t="s">
        <v>181</v>
      </c>
      <c r="E73" s="46">
        <v>1</v>
      </c>
      <c r="F73" s="47" t="s">
        <v>329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278</v>
      </c>
      <c r="B74" s="42" t="s">
        <v>72</v>
      </c>
      <c r="C74" s="57" t="s">
        <v>279</v>
      </c>
      <c r="D74" s="57" t="s">
        <v>181</v>
      </c>
      <c r="E74" s="46">
        <v>1</v>
      </c>
      <c r="F74" s="47" t="s">
        <v>330</v>
      </c>
      <c r="G74" s="44">
        <v>0</v>
      </c>
      <c r="H74" s="44">
        <v>3083.01</v>
      </c>
      <c r="I74" s="45">
        <f t="shared" si="3"/>
        <v>3083.01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280</v>
      </c>
      <c r="B75" s="42" t="s">
        <v>66</v>
      </c>
      <c r="C75" s="57" t="s">
        <v>281</v>
      </c>
      <c r="D75" s="57" t="s">
        <v>181</v>
      </c>
      <c r="E75" s="46">
        <v>1</v>
      </c>
      <c r="F75" s="47" t="s">
        <v>331</v>
      </c>
      <c r="G75" s="44">
        <v>0</v>
      </c>
      <c r="H75" s="44">
        <v>5703.56</v>
      </c>
      <c r="I75" s="45">
        <f t="shared" si="3"/>
        <v>5703.56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282</v>
      </c>
      <c r="B76" s="42" t="s">
        <v>72</v>
      </c>
      <c r="C76" s="57" t="s">
        <v>283</v>
      </c>
      <c r="D76" s="57" t="s">
        <v>181</v>
      </c>
      <c r="E76" s="46">
        <v>1</v>
      </c>
      <c r="F76" s="47" t="s">
        <v>332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284</v>
      </c>
      <c r="B77" s="42" t="s">
        <v>72</v>
      </c>
      <c r="C77" s="57" t="s">
        <v>285</v>
      </c>
      <c r="D77" s="57" t="s">
        <v>181</v>
      </c>
      <c r="E77" s="46">
        <v>1</v>
      </c>
      <c r="F77" s="47" t="s">
        <v>333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286</v>
      </c>
      <c r="B78" s="42" t="s">
        <v>72</v>
      </c>
      <c r="C78" s="57" t="s">
        <v>287</v>
      </c>
      <c r="D78" s="57" t="s">
        <v>181</v>
      </c>
      <c r="E78" s="46">
        <v>1</v>
      </c>
      <c r="F78" s="47" t="s">
        <v>334</v>
      </c>
      <c r="G78" s="44">
        <v>0</v>
      </c>
      <c r="H78" s="44">
        <v>3083.01</v>
      </c>
      <c r="I78" s="45">
        <f t="shared" si="3"/>
        <v>3083.01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288</v>
      </c>
      <c r="B79" s="42" t="s">
        <v>70</v>
      </c>
      <c r="C79" s="57" t="s">
        <v>289</v>
      </c>
      <c r="D79" s="57" t="s">
        <v>181</v>
      </c>
      <c r="E79" s="46">
        <v>1</v>
      </c>
      <c r="F79" s="47" t="s">
        <v>335</v>
      </c>
      <c r="G79" s="44">
        <v>0</v>
      </c>
      <c r="H79" s="44">
        <v>4316.21</v>
      </c>
      <c r="I79" s="45">
        <f t="shared" si="3"/>
        <v>4316.21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290</v>
      </c>
      <c r="B80" s="42" t="s">
        <v>66</v>
      </c>
      <c r="C80" s="57" t="s">
        <v>291</v>
      </c>
      <c r="D80" s="57" t="s">
        <v>181</v>
      </c>
      <c r="E80" s="46">
        <v>1</v>
      </c>
      <c r="F80" s="47" t="s">
        <v>336</v>
      </c>
      <c r="G80" s="44">
        <v>0</v>
      </c>
      <c r="H80" s="44">
        <v>5703.56</v>
      </c>
      <c r="I80" s="45">
        <f t="shared" si="3"/>
        <v>5703.56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292</v>
      </c>
      <c r="B81" s="42" t="s">
        <v>72</v>
      </c>
      <c r="C81" s="57" t="s">
        <v>293</v>
      </c>
      <c r="D81" s="57" t="s">
        <v>199</v>
      </c>
      <c r="E81" s="46">
        <v>1</v>
      </c>
      <c r="F81" s="47" t="s">
        <v>337</v>
      </c>
      <c r="G81" s="44">
        <v>1509.2</v>
      </c>
      <c r="H81" s="44">
        <v>3083.01</v>
      </c>
      <c r="I81" s="45">
        <f t="shared" si="3"/>
        <v>4592.21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294</v>
      </c>
      <c r="B82" s="42" t="s">
        <v>72</v>
      </c>
      <c r="C82" s="57" t="s">
        <v>295</v>
      </c>
      <c r="D82" s="73" t="s">
        <v>199</v>
      </c>
      <c r="E82" s="46">
        <v>1</v>
      </c>
      <c r="F82" s="47" t="s">
        <v>412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296</v>
      </c>
      <c r="B83" s="42" t="s">
        <v>72</v>
      </c>
      <c r="C83" s="57" t="s">
        <v>297</v>
      </c>
      <c r="D83" s="57" t="s">
        <v>199</v>
      </c>
      <c r="E83" s="46">
        <v>1</v>
      </c>
      <c r="F83" s="47" t="s">
        <v>338</v>
      </c>
      <c r="G83" s="44">
        <v>1509.2</v>
      </c>
      <c r="H83" s="44">
        <v>3083.01</v>
      </c>
      <c r="I83" s="45">
        <f t="shared" si="3"/>
        <v>4592.21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x14ac:dyDescent="0.2">
      <c r="A84" s="47" t="s">
        <v>298</v>
      </c>
      <c r="B84" s="42" t="s">
        <v>68</v>
      </c>
      <c r="C84" s="57" t="s">
        <v>299</v>
      </c>
      <c r="D84" s="57" t="s">
        <v>181</v>
      </c>
      <c r="E84" s="46">
        <v>1</v>
      </c>
      <c r="F84" s="47" t="s">
        <v>339</v>
      </c>
      <c r="G84" s="44">
        <v>0</v>
      </c>
      <c r="H84" s="44">
        <v>5241.1099999999997</v>
      </c>
      <c r="I84" s="45">
        <f t="shared" si="3"/>
        <v>5241.1099999999997</v>
      </c>
      <c r="J84" s="37"/>
      <c r="K84" s="21"/>
      <c r="L84" s="21"/>
      <c r="M84" s="21"/>
      <c r="N84" s="21"/>
      <c r="O84" s="21"/>
      <c r="P84" s="21"/>
      <c r="Q84" s="21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45" x14ac:dyDescent="0.2">
      <c r="A85" s="63" t="s">
        <v>55</v>
      </c>
      <c r="B85" s="63" t="s">
        <v>56</v>
      </c>
      <c r="C85" s="35" t="s">
        <v>57</v>
      </c>
      <c r="D85" s="35" t="s">
        <v>58</v>
      </c>
      <c r="E85" s="35" t="s">
        <v>59</v>
      </c>
      <c r="F85" s="48"/>
      <c r="G85" s="35" t="s">
        <v>60</v>
      </c>
      <c r="H85" s="35" t="s">
        <v>61</v>
      </c>
      <c r="I85" s="35" t="s">
        <v>62</v>
      </c>
      <c r="J85" s="37"/>
      <c r="K85" s="7"/>
      <c r="L85" s="7"/>
      <c r="M85" s="7"/>
      <c r="N85" s="7"/>
      <c r="O85" s="7"/>
      <c r="P85" s="7"/>
      <c r="Q85" s="7"/>
      <c r="R85" s="4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x14ac:dyDescent="0.2">
      <c r="A86" s="58" t="s">
        <v>63</v>
      </c>
      <c r="B86" s="59" t="s">
        <v>64</v>
      </c>
      <c r="C86" s="28">
        <f>SUMIFS($E$43:$E$84,$B$43:$B$84,"FDA",$D$43:$D$84,"&lt;&gt;VAGO")</f>
        <v>0</v>
      </c>
      <c r="D86" s="28">
        <f>SUMIFS($E$43:$E$84,$B$43:$B$84,"FDA",$D$43:$D$84,"VAGO")</f>
        <v>0</v>
      </c>
      <c r="E86" s="28">
        <f t="shared" ref="E86:E90" si="4">C86+D86</f>
        <v>0</v>
      </c>
      <c r="F86" s="29"/>
      <c r="G86" s="45">
        <f>SUMIF($B$43:$B$84,"FDA",$G$43:$G$84)</f>
        <v>0</v>
      </c>
      <c r="H86" s="45">
        <f>SUMIF($B$43:$B$84,"FDA",$H$43:$H$84)</f>
        <v>0</v>
      </c>
      <c r="I86" s="45">
        <f>SUMIF($B$43:$B$84,"FDA",$I$43:$I$84)</f>
        <v>0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65</v>
      </c>
      <c r="B87" s="59" t="s">
        <v>66</v>
      </c>
      <c r="C87" s="28">
        <f>SUMIFS($E$43:$E$84,$B$43:$B$84,"FDA-1",$D$43:$D$84,"&lt;&gt;VAGO")</f>
        <v>7</v>
      </c>
      <c r="D87" s="28">
        <f>SUMIFS($E$43:$E$84,$B$43:$B$84,"FDA-1",$D$43:$D$84,"VAGO")</f>
        <v>0</v>
      </c>
      <c r="E87" s="28">
        <f t="shared" si="4"/>
        <v>7</v>
      </c>
      <c r="F87" s="29"/>
      <c r="G87" s="45">
        <f>SUMIF($B$43:$B$84,"FDA-1",$G$43:$G$84)</f>
        <v>0</v>
      </c>
      <c r="H87" s="45">
        <f>SUMIF($B$43:$B$84,"FDA-1",$H$43:$H$84)</f>
        <v>39909.5</v>
      </c>
      <c r="I87" s="45">
        <f>SUMIF($B$43:$B$84,"FDA-1",$I$43:$I$84)</f>
        <v>39909.5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67</v>
      </c>
      <c r="B88" s="59" t="s">
        <v>68</v>
      </c>
      <c r="C88" s="28">
        <f>SUMIFS($E$43:$E$84,$B$43:$B$84,"FDA-2",$D$43:$D$84,"&lt;&gt;VAGO")</f>
        <v>6</v>
      </c>
      <c r="D88" s="28">
        <f>SUMIFS($E$43:$E$84,$B$43:$B$84,"FDA-2",$D$43:$D$84,"VAGO")</f>
        <v>0</v>
      </c>
      <c r="E88" s="28">
        <f t="shared" si="4"/>
        <v>6</v>
      </c>
      <c r="F88" s="32"/>
      <c r="G88" s="45">
        <f>SUMIF($B$43:$B$84,"FDA-2",$G$43:$G$84)</f>
        <v>35727.719999999994</v>
      </c>
      <c r="H88" s="45">
        <f>SUMIF($B$43:$B$84,"FDA-2",$H$43:$H$84)</f>
        <v>31446.66</v>
      </c>
      <c r="I88" s="45">
        <f>SUMIF($B$43:$B$84,"FDA-2",$I$43:$I$84)</f>
        <v>67174.37999999999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69</v>
      </c>
      <c r="B89" s="59" t="s">
        <v>70</v>
      </c>
      <c r="C89" s="28">
        <f>SUMIFS($E$43:$E$84,$B$43:$B$84,"FDA-3",$D$43:$D$84,"&lt;&gt;VAGO")</f>
        <v>2</v>
      </c>
      <c r="D89" s="28">
        <f>SUMIFS($E$43:$E$84,$B$43:$B$84,"FDA-3",$D$43:$D$84,"VAGO")</f>
        <v>0</v>
      </c>
      <c r="E89" s="28">
        <f t="shared" si="4"/>
        <v>2</v>
      </c>
      <c r="F89" s="34"/>
      <c r="G89" s="45">
        <f>SUMIF($B$43:$B$84,"FDA-3",$G$43:$G$84)</f>
        <v>0</v>
      </c>
      <c r="H89" s="45">
        <f>SUMIF($B$43:$B$84,"FDA-3",$H$43:$H$84)</f>
        <v>8632.42</v>
      </c>
      <c r="I89" s="45">
        <f>SUMIF($B$43:$B$84,"FDA-3",$I$43:$I$84)</f>
        <v>8632.42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x14ac:dyDescent="0.2">
      <c r="A90" s="58" t="s">
        <v>71</v>
      </c>
      <c r="B90" s="59" t="s">
        <v>72</v>
      </c>
      <c r="C90" s="28">
        <f>SUMIFS($E$43:$E$84,$B$43:$B$84,"FDA-4",$D$43:$D$84,"&lt;&gt;VAGO")</f>
        <v>27</v>
      </c>
      <c r="D90" s="28">
        <f>SUMIFS($E$43:$E$84,$B$43:$B$84,"FDA-4",$D$43:$D$84,"VAGO")</f>
        <v>0</v>
      </c>
      <c r="E90" s="28">
        <f t="shared" si="4"/>
        <v>27</v>
      </c>
      <c r="F90" s="32"/>
      <c r="G90" s="45">
        <f>SUMIF($B$43:$B$84,"FDA-4",$G$43:$G$84)</f>
        <v>6868.0599999999995</v>
      </c>
      <c r="H90" s="45">
        <f>SUMIF($B$43:$B$84,"FDA-4",$H$43:$H$84)</f>
        <v>83241.27</v>
      </c>
      <c r="I90" s="45">
        <f>SUMIF($B$43:$B$84,"FDA-4",$I$43:$I$84)</f>
        <v>90109.330000000031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30" x14ac:dyDescent="0.2">
      <c r="A91" s="63" t="s">
        <v>73</v>
      </c>
      <c r="B91" s="48"/>
      <c r="C91" s="35">
        <f t="shared" ref="C91:E91" si="5">SUM(C87:C90)</f>
        <v>42</v>
      </c>
      <c r="D91" s="35">
        <f t="shared" si="5"/>
        <v>0</v>
      </c>
      <c r="E91" s="35">
        <f t="shared" si="5"/>
        <v>42</v>
      </c>
      <c r="F91" s="48"/>
      <c r="G91" s="51">
        <f t="shared" ref="G91:I91" si="6">SUM(G86:G90)</f>
        <v>42595.779999999992</v>
      </c>
      <c r="H91" s="51">
        <f t="shared" si="6"/>
        <v>163229.85</v>
      </c>
      <c r="I91" s="51">
        <f t="shared" si="6"/>
        <v>205825.63</v>
      </c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45" customHeight="1" x14ac:dyDescent="0.2">
      <c r="A92" s="38"/>
      <c r="B92" s="38"/>
      <c r="C92" s="38"/>
      <c r="D92" s="38"/>
      <c r="E92" s="38"/>
      <c r="F92" s="38"/>
      <c r="G92" s="38"/>
      <c r="H92" s="38"/>
      <c r="I92" s="7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x14ac:dyDescent="0.2">
      <c r="A93" s="99" t="s">
        <v>74</v>
      </c>
      <c r="B93" s="93"/>
      <c r="C93" s="93"/>
      <c r="D93" s="93"/>
      <c r="E93" s="93"/>
      <c r="F93" s="93"/>
      <c r="G93" s="93"/>
      <c r="H93" s="93"/>
      <c r="I93" s="94"/>
      <c r="J93" s="21"/>
      <c r="K93" s="7"/>
      <c r="L93" s="21"/>
      <c r="M93" s="21"/>
      <c r="N93" s="21"/>
      <c r="O93" s="21"/>
      <c r="P93" s="21"/>
      <c r="Q93" s="2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30" x14ac:dyDescent="0.2">
      <c r="A94" s="52" t="s">
        <v>75</v>
      </c>
      <c r="B94" s="10" t="s">
        <v>76</v>
      </c>
      <c r="C94" s="10" t="s">
        <v>77</v>
      </c>
      <c r="D94" s="10" t="s">
        <v>78</v>
      </c>
      <c r="E94" s="10" t="s">
        <v>79</v>
      </c>
      <c r="F94" s="10" t="s">
        <v>80</v>
      </c>
      <c r="G94" s="10" t="s">
        <v>81</v>
      </c>
      <c r="H94" s="10" t="s">
        <v>82</v>
      </c>
      <c r="I94" s="10" t="s">
        <v>83</v>
      </c>
      <c r="J94" s="7"/>
      <c r="K94" s="7"/>
      <c r="L94" s="7"/>
      <c r="M94" s="7"/>
      <c r="N94" s="7"/>
      <c r="O94" s="7"/>
      <c r="P94" s="7"/>
      <c r="Q94" s="7"/>
      <c r="R94" s="40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">
      <c r="A95" s="56" t="s">
        <v>340</v>
      </c>
      <c r="B95" s="55" t="s">
        <v>93</v>
      </c>
      <c r="C95" s="55" t="s">
        <v>178</v>
      </c>
      <c r="D95" s="57" t="s">
        <v>181</v>
      </c>
      <c r="E95" s="46">
        <v>1</v>
      </c>
      <c r="F95" s="56" t="s">
        <v>374</v>
      </c>
      <c r="G95" s="44">
        <v>0</v>
      </c>
      <c r="H95" s="44">
        <v>1392.8</v>
      </c>
      <c r="I95" s="45">
        <f t="shared" ref="I95:I198" si="7">SUM(G95:H95)</f>
        <v>1392.8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341</v>
      </c>
      <c r="B96" s="55" t="s">
        <v>342</v>
      </c>
      <c r="C96" s="57" t="s">
        <v>178</v>
      </c>
      <c r="D96" s="57" t="s">
        <v>199</v>
      </c>
      <c r="E96" s="46">
        <v>1</v>
      </c>
      <c r="F96" s="47" t="s">
        <v>375</v>
      </c>
      <c r="G96" s="44">
        <v>831.13</v>
      </c>
      <c r="H96" s="44">
        <v>849.76</v>
      </c>
      <c r="I96" s="45">
        <f t="shared" si="7"/>
        <v>1680.8899999999999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343</v>
      </c>
      <c r="B97" s="55" t="s">
        <v>101</v>
      </c>
      <c r="C97" s="57" t="s">
        <v>178</v>
      </c>
      <c r="D97" s="57" t="s">
        <v>199</v>
      </c>
      <c r="E97" s="46">
        <v>1</v>
      </c>
      <c r="F97" s="43" t="s">
        <v>376</v>
      </c>
      <c r="G97" s="44">
        <v>831.26</v>
      </c>
      <c r="H97" s="44">
        <v>465.35</v>
      </c>
      <c r="I97" s="45">
        <f t="shared" si="7"/>
        <v>1296.6100000000001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340</v>
      </c>
      <c r="B98" s="55" t="s">
        <v>93</v>
      </c>
      <c r="C98" s="57" t="s">
        <v>223</v>
      </c>
      <c r="D98" s="57" t="s">
        <v>199</v>
      </c>
      <c r="E98" s="46">
        <v>1</v>
      </c>
      <c r="F98" s="43" t="s">
        <v>377</v>
      </c>
      <c r="G98" s="44">
        <v>844.27</v>
      </c>
      <c r="H98" s="44">
        <v>1392.8</v>
      </c>
      <c r="I98" s="45">
        <f t="shared" si="7"/>
        <v>2237.0699999999997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344</v>
      </c>
      <c r="B99" s="55" t="s">
        <v>345</v>
      </c>
      <c r="C99" s="57" t="s">
        <v>223</v>
      </c>
      <c r="D99" s="57" t="s">
        <v>199</v>
      </c>
      <c r="E99" s="46">
        <v>1</v>
      </c>
      <c r="F99" s="43" t="s">
        <v>378</v>
      </c>
      <c r="G99" s="44">
        <v>831.26</v>
      </c>
      <c r="H99" s="44">
        <v>505.81</v>
      </c>
      <c r="I99" s="45">
        <f t="shared" si="7"/>
        <v>1337.07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379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340</v>
      </c>
      <c r="B101" s="55" t="s">
        <v>93</v>
      </c>
      <c r="C101" s="57" t="s">
        <v>223</v>
      </c>
      <c r="D101" s="57" t="s">
        <v>181</v>
      </c>
      <c r="E101" s="46">
        <v>1</v>
      </c>
      <c r="F101" s="43" t="s">
        <v>380</v>
      </c>
      <c r="G101" s="44">
        <v>0</v>
      </c>
      <c r="H101" s="44">
        <v>1392.8</v>
      </c>
      <c r="I101" s="45">
        <f t="shared" si="7"/>
        <v>1392.8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381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347</v>
      </c>
      <c r="D103" s="57" t="s">
        <v>181</v>
      </c>
      <c r="E103" s="46">
        <v>1</v>
      </c>
      <c r="F103" s="43" t="s">
        <v>382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346</v>
      </c>
      <c r="B104" s="55" t="s">
        <v>97</v>
      </c>
      <c r="C104" s="57" t="s">
        <v>348</v>
      </c>
      <c r="D104" s="57" t="s">
        <v>181</v>
      </c>
      <c r="E104" s="46">
        <v>1</v>
      </c>
      <c r="F104" s="43" t="s">
        <v>383</v>
      </c>
      <c r="G104" s="44">
        <v>0</v>
      </c>
      <c r="H104" s="44">
        <v>566.5</v>
      </c>
      <c r="I104" s="45">
        <f t="shared" si="7"/>
        <v>566.5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347</v>
      </c>
      <c r="D105" s="57" t="s">
        <v>181</v>
      </c>
      <c r="E105" s="46">
        <v>1</v>
      </c>
      <c r="F105" s="43" t="s">
        <v>384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349</v>
      </c>
      <c r="D106" s="57" t="s">
        <v>181</v>
      </c>
      <c r="E106" s="46">
        <v>1</v>
      </c>
      <c r="F106" s="43" t="s">
        <v>385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340</v>
      </c>
      <c r="B107" s="55" t="s">
        <v>93</v>
      </c>
      <c r="C107" s="57" t="s">
        <v>231</v>
      </c>
      <c r="D107" s="57" t="s">
        <v>181</v>
      </c>
      <c r="E107" s="46">
        <v>1</v>
      </c>
      <c r="F107" s="43" t="s">
        <v>386</v>
      </c>
      <c r="G107" s="44">
        <v>0</v>
      </c>
      <c r="H107" s="44">
        <v>1392.8</v>
      </c>
      <c r="I107" s="45">
        <f t="shared" si="7"/>
        <v>1392.8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341</v>
      </c>
      <c r="B108" s="55" t="s">
        <v>342</v>
      </c>
      <c r="C108" s="57" t="s">
        <v>350</v>
      </c>
      <c r="D108" s="57" t="s">
        <v>181</v>
      </c>
      <c r="E108" s="46">
        <v>1</v>
      </c>
      <c r="F108" s="43" t="s">
        <v>387</v>
      </c>
      <c r="G108" s="44">
        <v>0</v>
      </c>
      <c r="H108" s="44">
        <v>849.76</v>
      </c>
      <c r="I108" s="45">
        <f t="shared" si="7"/>
        <v>849.76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340</v>
      </c>
      <c r="B109" s="55" t="s">
        <v>93</v>
      </c>
      <c r="C109" s="57" t="s">
        <v>351</v>
      </c>
      <c r="D109" s="57" t="s">
        <v>181</v>
      </c>
      <c r="E109" s="46">
        <v>1</v>
      </c>
      <c r="F109" s="43" t="s">
        <v>388</v>
      </c>
      <c r="G109" s="44">
        <v>0</v>
      </c>
      <c r="H109" s="44">
        <v>1392.8</v>
      </c>
      <c r="I109" s="45">
        <f t="shared" si="7"/>
        <v>1392.8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346</v>
      </c>
      <c r="B110" s="55" t="s">
        <v>97</v>
      </c>
      <c r="C110" s="57" t="s">
        <v>352</v>
      </c>
      <c r="D110" s="57" t="s">
        <v>199</v>
      </c>
      <c r="E110" s="46">
        <v>1</v>
      </c>
      <c r="F110" s="43" t="s">
        <v>389</v>
      </c>
      <c r="G110" s="44">
        <v>852.4</v>
      </c>
      <c r="H110" s="44">
        <v>566.5</v>
      </c>
      <c r="I110" s="45">
        <f t="shared" si="7"/>
        <v>1418.9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340</v>
      </c>
      <c r="B111" s="55" t="s">
        <v>93</v>
      </c>
      <c r="C111" s="57" t="s">
        <v>353</v>
      </c>
      <c r="D111" s="57" t="s">
        <v>199</v>
      </c>
      <c r="E111" s="46">
        <v>1</v>
      </c>
      <c r="F111" s="43" t="s">
        <v>390</v>
      </c>
      <c r="G111" s="44">
        <v>830.46</v>
      </c>
      <c r="H111" s="44">
        <v>1392.8</v>
      </c>
      <c r="I111" s="45">
        <f t="shared" si="7"/>
        <v>2223.2600000000002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391</v>
      </c>
      <c r="G112" s="44">
        <v>844.27</v>
      </c>
      <c r="H112" s="44">
        <v>566.5</v>
      </c>
      <c r="I112" s="45">
        <f t="shared" si="7"/>
        <v>1410.77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353</v>
      </c>
      <c r="D113" s="57" t="s">
        <v>199</v>
      </c>
      <c r="E113" s="46">
        <v>1</v>
      </c>
      <c r="F113" s="43" t="s">
        <v>392</v>
      </c>
      <c r="G113" s="44">
        <v>844.13</v>
      </c>
      <c r="H113" s="44">
        <v>566.5</v>
      </c>
      <c r="I113" s="45">
        <f t="shared" si="7"/>
        <v>1410.63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354</v>
      </c>
      <c r="D114" s="57" t="s">
        <v>181</v>
      </c>
      <c r="E114" s="46">
        <v>1</v>
      </c>
      <c r="F114" s="43" t="s">
        <v>393</v>
      </c>
      <c r="G114" s="44">
        <v>0</v>
      </c>
      <c r="H114" s="44">
        <v>566.5</v>
      </c>
      <c r="I114" s="45">
        <f t="shared" si="7"/>
        <v>566.5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477</v>
      </c>
      <c r="G115" s="44">
        <v>845.01</v>
      </c>
      <c r="H115" s="44">
        <v>566.5</v>
      </c>
      <c r="I115" s="45">
        <f t="shared" si="7"/>
        <v>1411.51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394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346</v>
      </c>
      <c r="B117" s="55" t="s">
        <v>97</v>
      </c>
      <c r="C117" s="57" t="s">
        <v>355</v>
      </c>
      <c r="D117" s="57" t="s">
        <v>199</v>
      </c>
      <c r="E117" s="46">
        <v>1</v>
      </c>
      <c r="F117" s="43" t="s">
        <v>395</v>
      </c>
      <c r="G117" s="44">
        <v>837.96</v>
      </c>
      <c r="H117" s="44">
        <v>566.5</v>
      </c>
      <c r="I117" s="45">
        <f t="shared" si="7"/>
        <v>1404.46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340</v>
      </c>
      <c r="B118" s="55" t="s">
        <v>93</v>
      </c>
      <c r="C118" s="57" t="s">
        <v>356</v>
      </c>
      <c r="D118" s="57" t="s">
        <v>181</v>
      </c>
      <c r="E118" s="46">
        <v>1</v>
      </c>
      <c r="F118" s="43" t="s">
        <v>396</v>
      </c>
      <c r="G118" s="44">
        <v>0</v>
      </c>
      <c r="H118" s="44">
        <v>1392.8</v>
      </c>
      <c r="I118" s="45">
        <f t="shared" si="7"/>
        <v>1392.8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346</v>
      </c>
      <c r="B119" s="55" t="s">
        <v>97</v>
      </c>
      <c r="C119" s="57" t="s">
        <v>356</v>
      </c>
      <c r="D119" s="57" t="s">
        <v>199</v>
      </c>
      <c r="E119" s="46">
        <v>1</v>
      </c>
      <c r="F119" s="43" t="s">
        <v>397</v>
      </c>
      <c r="G119" s="44">
        <v>844.87</v>
      </c>
      <c r="H119" s="44">
        <v>566.5</v>
      </c>
      <c r="I119" s="45">
        <f t="shared" si="7"/>
        <v>1411.37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344</v>
      </c>
      <c r="B120" s="55" t="s">
        <v>345</v>
      </c>
      <c r="C120" s="57" t="s">
        <v>356</v>
      </c>
      <c r="D120" s="57" t="s">
        <v>199</v>
      </c>
      <c r="E120" s="46">
        <v>1</v>
      </c>
      <c r="F120" s="43" t="s">
        <v>398</v>
      </c>
      <c r="G120" s="44">
        <v>852.4</v>
      </c>
      <c r="H120" s="44">
        <v>505.81</v>
      </c>
      <c r="I120" s="45">
        <f t="shared" si="7"/>
        <v>1358.21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340</v>
      </c>
      <c r="B121" s="55" t="s">
        <v>93</v>
      </c>
      <c r="C121" s="57" t="s">
        <v>357</v>
      </c>
      <c r="D121" s="57" t="s">
        <v>181</v>
      </c>
      <c r="E121" s="46">
        <v>1</v>
      </c>
      <c r="F121" s="43" t="s">
        <v>399</v>
      </c>
      <c r="G121" s="44">
        <v>0</v>
      </c>
      <c r="H121" s="44">
        <v>1392.8</v>
      </c>
      <c r="I121" s="45">
        <f t="shared" si="7"/>
        <v>1392.8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400</v>
      </c>
      <c r="G122" s="44">
        <v>16704.73</v>
      </c>
      <c r="H122" s="44">
        <v>566.5</v>
      </c>
      <c r="I122" s="45">
        <f t="shared" si="7"/>
        <v>17271.23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357</v>
      </c>
      <c r="D123" s="57" t="s">
        <v>199</v>
      </c>
      <c r="E123" s="46">
        <v>1</v>
      </c>
      <c r="F123" s="43" t="s">
        <v>401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199</v>
      </c>
      <c r="E124" s="46">
        <v>1</v>
      </c>
      <c r="F124" s="43" t="s">
        <v>402</v>
      </c>
      <c r="G124" s="44">
        <v>837.96</v>
      </c>
      <c r="H124" s="44">
        <v>566.5</v>
      </c>
      <c r="I124" s="45">
        <f t="shared" si="7"/>
        <v>1404.46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346</v>
      </c>
      <c r="B125" s="55" t="s">
        <v>97</v>
      </c>
      <c r="C125" s="57" t="s">
        <v>358</v>
      </c>
      <c r="D125" s="57" t="s">
        <v>181</v>
      </c>
      <c r="E125" s="46">
        <v>1</v>
      </c>
      <c r="F125" s="43" t="s">
        <v>403</v>
      </c>
      <c r="G125" s="44">
        <v>0</v>
      </c>
      <c r="H125" s="44">
        <v>566.5</v>
      </c>
      <c r="I125" s="45">
        <f t="shared" si="7"/>
        <v>566.5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404</v>
      </c>
      <c r="G126" s="44">
        <v>831.26</v>
      </c>
      <c r="H126" s="44">
        <v>1392.8</v>
      </c>
      <c r="I126" s="45">
        <f t="shared" si="7"/>
        <v>2224.06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359</v>
      </c>
      <c r="D127" s="57" t="s">
        <v>199</v>
      </c>
      <c r="E127" s="46">
        <v>1</v>
      </c>
      <c r="F127" s="43" t="s">
        <v>405</v>
      </c>
      <c r="G127" s="44">
        <v>1006.04</v>
      </c>
      <c r="H127" s="44">
        <v>1392.8</v>
      </c>
      <c r="I127" s="45">
        <f t="shared" si="7"/>
        <v>2398.84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340</v>
      </c>
      <c r="B128" s="55" t="s">
        <v>93</v>
      </c>
      <c r="C128" s="57" t="s">
        <v>360</v>
      </c>
      <c r="D128" s="57" t="s">
        <v>199</v>
      </c>
      <c r="E128" s="46">
        <v>1</v>
      </c>
      <c r="F128" s="43" t="s">
        <v>406</v>
      </c>
      <c r="G128" s="44">
        <v>837.96</v>
      </c>
      <c r="H128" s="44">
        <v>1392.8</v>
      </c>
      <c r="I128" s="45">
        <f t="shared" si="7"/>
        <v>2230.7600000000002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407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346</v>
      </c>
      <c r="B130" s="55" t="s">
        <v>97</v>
      </c>
      <c r="C130" s="57" t="s">
        <v>361</v>
      </c>
      <c r="D130" s="57" t="s">
        <v>181</v>
      </c>
      <c r="E130" s="46">
        <v>1</v>
      </c>
      <c r="F130" s="43" t="s">
        <v>408</v>
      </c>
      <c r="G130" s="44">
        <v>0</v>
      </c>
      <c r="H130" s="44">
        <v>566.5</v>
      </c>
      <c r="I130" s="45">
        <f t="shared" si="7"/>
        <v>566.5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362</v>
      </c>
      <c r="D131" s="57" t="s">
        <v>181</v>
      </c>
      <c r="E131" s="46">
        <v>1</v>
      </c>
      <c r="F131" s="43" t="s">
        <v>409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410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340</v>
      </c>
      <c r="B133" s="55" t="s">
        <v>93</v>
      </c>
      <c r="C133" s="57" t="s">
        <v>248</v>
      </c>
      <c r="D133" s="73" t="s">
        <v>199</v>
      </c>
      <c r="E133" s="46">
        <v>1</v>
      </c>
      <c r="F133" s="43" t="s">
        <v>509</v>
      </c>
      <c r="G133" s="44">
        <v>1509.2</v>
      </c>
      <c r="H133" s="44">
        <v>1392.8</v>
      </c>
      <c r="I133" s="45">
        <f t="shared" si="7"/>
        <v>2902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346</v>
      </c>
      <c r="B134" s="55" t="s">
        <v>97</v>
      </c>
      <c r="C134" s="57" t="s">
        <v>248</v>
      </c>
      <c r="D134" s="57" t="s">
        <v>199</v>
      </c>
      <c r="E134" s="46">
        <v>1</v>
      </c>
      <c r="F134" s="43" t="s">
        <v>490</v>
      </c>
      <c r="G134" s="44">
        <v>1509.2</v>
      </c>
      <c r="H134" s="44">
        <v>1392.8</v>
      </c>
      <c r="I134" s="45">
        <f t="shared" si="7"/>
        <v>2902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248</v>
      </c>
      <c r="D135" s="57" t="s">
        <v>199</v>
      </c>
      <c r="E135" s="46">
        <v>1</v>
      </c>
      <c r="F135" s="43" t="s">
        <v>413</v>
      </c>
      <c r="G135" s="44">
        <v>837.83</v>
      </c>
      <c r="H135" s="44">
        <v>1392.8</v>
      </c>
      <c r="I135" s="45">
        <f t="shared" si="7"/>
        <v>2230.63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199</v>
      </c>
      <c r="E136" s="46">
        <v>1</v>
      </c>
      <c r="F136" s="43" t="s">
        <v>414</v>
      </c>
      <c r="G136" s="44">
        <v>809.06</v>
      </c>
      <c r="H136" s="44">
        <v>1392.8</v>
      </c>
      <c r="I136" s="45">
        <f t="shared" si="7"/>
        <v>2201.8599999999997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78" t="s">
        <v>505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181</v>
      </c>
      <c r="E138" s="46">
        <v>1</v>
      </c>
      <c r="F138" s="79" t="s">
        <v>495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417</v>
      </c>
      <c r="G139" s="44">
        <v>1509.2</v>
      </c>
      <c r="H139" s="44">
        <v>1392.8</v>
      </c>
      <c r="I139" s="45">
        <f t="shared" si="7"/>
        <v>2902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340</v>
      </c>
      <c r="B140" s="55" t="s">
        <v>93</v>
      </c>
      <c r="C140" s="57" t="s">
        <v>194</v>
      </c>
      <c r="D140" s="57" t="s">
        <v>199</v>
      </c>
      <c r="E140" s="46">
        <v>1</v>
      </c>
      <c r="F140" s="43" t="s">
        <v>418</v>
      </c>
      <c r="G140" s="44">
        <v>809.06</v>
      </c>
      <c r="H140" s="44">
        <v>1392.8</v>
      </c>
      <c r="I140" s="45">
        <f t="shared" si="7"/>
        <v>2201.8599999999997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419</v>
      </c>
      <c r="G141" s="44">
        <v>852.4</v>
      </c>
      <c r="H141" s="44">
        <v>849.76</v>
      </c>
      <c r="I141" s="45">
        <f t="shared" si="7"/>
        <v>1702.1599999999999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478</v>
      </c>
      <c r="G142" s="44">
        <v>1509.2</v>
      </c>
      <c r="H142" s="44">
        <v>849.76</v>
      </c>
      <c r="I142" s="45">
        <f t="shared" si="7"/>
        <v>2358.96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421</v>
      </c>
      <c r="G143" s="44">
        <v>809.06</v>
      </c>
      <c r="H143" s="44">
        <v>849.76</v>
      </c>
      <c r="I143" s="45">
        <f t="shared" si="7"/>
        <v>1658.82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341</v>
      </c>
      <c r="B144" s="55" t="s">
        <v>342</v>
      </c>
      <c r="C144" s="57" t="s">
        <v>194</v>
      </c>
      <c r="D144" s="57" t="s">
        <v>199</v>
      </c>
      <c r="E144" s="46">
        <v>1</v>
      </c>
      <c r="F144" s="43" t="s">
        <v>422</v>
      </c>
      <c r="G144" s="44">
        <v>837.26</v>
      </c>
      <c r="H144" s="44">
        <v>849.76</v>
      </c>
      <c r="I144" s="45">
        <f t="shared" si="7"/>
        <v>1687.02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423</v>
      </c>
      <c r="G145" s="44">
        <v>824.75</v>
      </c>
      <c r="H145" s="44">
        <v>566.5</v>
      </c>
      <c r="I145" s="45">
        <f t="shared" si="7"/>
        <v>1391.25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346</v>
      </c>
      <c r="B146" s="55" t="s">
        <v>97</v>
      </c>
      <c r="C146" s="57" t="s">
        <v>194</v>
      </c>
      <c r="D146" s="57" t="s">
        <v>199</v>
      </c>
      <c r="E146" s="46">
        <v>1</v>
      </c>
      <c r="F146" s="43" t="s">
        <v>424</v>
      </c>
      <c r="G146" s="44">
        <v>831.26</v>
      </c>
      <c r="H146" s="44">
        <v>566.5</v>
      </c>
      <c r="I146" s="45">
        <f t="shared" si="7"/>
        <v>1397.76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363</v>
      </c>
      <c r="B147" s="55" t="s">
        <v>342</v>
      </c>
      <c r="C147" s="57" t="s">
        <v>194</v>
      </c>
      <c r="D147" s="57" t="s">
        <v>199</v>
      </c>
      <c r="E147" s="46">
        <v>1</v>
      </c>
      <c r="F147" s="43" t="s">
        <v>425</v>
      </c>
      <c r="G147" s="44">
        <v>1509.2</v>
      </c>
      <c r="H147" s="44">
        <v>849.76</v>
      </c>
      <c r="I147" s="45">
        <f t="shared" si="7"/>
        <v>2358.96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73" t="s">
        <v>199</v>
      </c>
      <c r="E148" s="46">
        <v>1</v>
      </c>
      <c r="F148" s="43" t="s">
        <v>510</v>
      </c>
      <c r="G148" s="86">
        <v>1509.2</v>
      </c>
      <c r="H148" s="44">
        <v>1392.8</v>
      </c>
      <c r="I148" s="45">
        <f t="shared" si="7"/>
        <v>2902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254</v>
      </c>
      <c r="D149" s="57" t="s">
        <v>181</v>
      </c>
      <c r="E149" s="46">
        <v>1</v>
      </c>
      <c r="F149" s="87" t="s">
        <v>486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181</v>
      </c>
      <c r="E150" s="46">
        <v>1</v>
      </c>
      <c r="F150" s="43" t="s">
        <v>428</v>
      </c>
      <c r="G150" s="44">
        <v>0</v>
      </c>
      <c r="H150" s="44">
        <v>1392.8</v>
      </c>
      <c r="I150" s="45">
        <f t="shared" si="7"/>
        <v>1392.8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340</v>
      </c>
      <c r="B151" s="55" t="s">
        <v>93</v>
      </c>
      <c r="C151" s="57" t="s">
        <v>364</v>
      </c>
      <c r="D151" s="57" t="s">
        <v>199</v>
      </c>
      <c r="E151" s="46">
        <v>1</v>
      </c>
      <c r="F151" s="43" t="s">
        <v>429</v>
      </c>
      <c r="G151" s="44">
        <v>809.06</v>
      </c>
      <c r="H151" s="44">
        <v>1392.8</v>
      </c>
      <c r="I151" s="45">
        <f t="shared" si="7"/>
        <v>2201.8599999999997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346</v>
      </c>
      <c r="B152" s="55" t="s">
        <v>97</v>
      </c>
      <c r="C152" s="57" t="s">
        <v>364</v>
      </c>
      <c r="D152" s="57" t="s">
        <v>199</v>
      </c>
      <c r="E152" s="46">
        <v>1</v>
      </c>
      <c r="F152" s="79" t="s">
        <v>511</v>
      </c>
      <c r="G152" s="44">
        <v>809.06</v>
      </c>
      <c r="H152" s="44">
        <v>566.5</v>
      </c>
      <c r="I152" s="45">
        <f t="shared" si="7"/>
        <v>1375.56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341</v>
      </c>
      <c r="B153" s="55" t="s">
        <v>342</v>
      </c>
      <c r="C153" s="57" t="s">
        <v>364</v>
      </c>
      <c r="D153" s="57" t="s">
        <v>199</v>
      </c>
      <c r="E153" s="46">
        <v>1</v>
      </c>
      <c r="F153" s="79" t="s">
        <v>506</v>
      </c>
      <c r="G153" s="44">
        <v>809.06</v>
      </c>
      <c r="H153" s="44">
        <v>849.76</v>
      </c>
      <c r="I153" s="45">
        <f t="shared" si="7"/>
        <v>1658.82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346</v>
      </c>
      <c r="B154" s="55" t="s">
        <v>97</v>
      </c>
      <c r="C154" s="57" t="s">
        <v>260</v>
      </c>
      <c r="D154" s="57" t="s">
        <v>181</v>
      </c>
      <c r="E154" s="46">
        <v>1</v>
      </c>
      <c r="F154" s="78" t="s">
        <v>432</v>
      </c>
      <c r="G154" s="44">
        <v>0</v>
      </c>
      <c r="H154" s="44">
        <v>566.5</v>
      </c>
      <c r="I154" s="45">
        <f t="shared" si="7"/>
        <v>566.5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340</v>
      </c>
      <c r="B155" s="55" t="s">
        <v>93</v>
      </c>
      <c r="C155" s="57" t="s">
        <v>260</v>
      </c>
      <c r="D155" s="73" t="s">
        <v>183</v>
      </c>
      <c r="E155" s="46">
        <v>1</v>
      </c>
      <c r="F155" s="79" t="s">
        <v>183</v>
      </c>
      <c r="G155" s="44">
        <v>0</v>
      </c>
      <c r="H155" s="44">
        <v>0</v>
      </c>
      <c r="I155" s="45">
        <f t="shared" si="7"/>
        <v>0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434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365</v>
      </c>
      <c r="B157" s="55" t="s">
        <v>93</v>
      </c>
      <c r="C157" s="57" t="s">
        <v>260</v>
      </c>
      <c r="D157" s="57" t="s">
        <v>181</v>
      </c>
      <c r="E157" s="46">
        <v>1</v>
      </c>
      <c r="F157" s="43" t="s">
        <v>435</v>
      </c>
      <c r="G157" s="44">
        <v>0</v>
      </c>
      <c r="H157" s="44">
        <v>1392.8</v>
      </c>
      <c r="I157" s="45">
        <f t="shared" si="7"/>
        <v>1392.8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341</v>
      </c>
      <c r="B158" s="55" t="s">
        <v>342</v>
      </c>
      <c r="C158" s="57" t="s">
        <v>198</v>
      </c>
      <c r="D158" s="57" t="s">
        <v>199</v>
      </c>
      <c r="E158" s="46">
        <v>1</v>
      </c>
      <c r="F158" s="78" t="s">
        <v>507</v>
      </c>
      <c r="G158" s="44">
        <v>809.06</v>
      </c>
      <c r="H158" s="44">
        <v>849.76</v>
      </c>
      <c r="I158" s="45">
        <f t="shared" si="7"/>
        <v>1658.82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343</v>
      </c>
      <c r="B159" s="55" t="s">
        <v>101</v>
      </c>
      <c r="C159" s="57" t="s">
        <v>198</v>
      </c>
      <c r="D159" s="57" t="s">
        <v>199</v>
      </c>
      <c r="E159" s="46">
        <v>1</v>
      </c>
      <c r="F159" s="43" t="s">
        <v>518</v>
      </c>
      <c r="G159" s="44">
        <v>1509.2</v>
      </c>
      <c r="H159" s="44">
        <v>849.76</v>
      </c>
      <c r="I159" s="45">
        <f t="shared" si="7"/>
        <v>2358.96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181</v>
      </c>
      <c r="E160" s="46">
        <v>1</v>
      </c>
      <c r="F160" s="43" t="s">
        <v>438</v>
      </c>
      <c r="G160" s="44">
        <v>0</v>
      </c>
      <c r="H160" s="44">
        <v>1392.8</v>
      </c>
      <c r="I160" s="45">
        <f t="shared" si="7"/>
        <v>1392.8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340</v>
      </c>
      <c r="B161" s="55" t="s">
        <v>93</v>
      </c>
      <c r="C161" s="57" t="s">
        <v>366</v>
      </c>
      <c r="D161" s="57" t="s">
        <v>199</v>
      </c>
      <c r="E161" s="46">
        <v>1</v>
      </c>
      <c r="F161" s="43" t="s">
        <v>439</v>
      </c>
      <c r="G161" s="44">
        <v>852.4</v>
      </c>
      <c r="H161" s="44">
        <v>1392.8</v>
      </c>
      <c r="I161" s="45">
        <f t="shared" si="7"/>
        <v>2245.1999999999998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440</v>
      </c>
      <c r="G162" s="44">
        <v>831.26</v>
      </c>
      <c r="H162" s="44">
        <v>849.76</v>
      </c>
      <c r="I162" s="45">
        <f t="shared" si="7"/>
        <v>1681.02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441</v>
      </c>
      <c r="G163" s="44">
        <v>824.11</v>
      </c>
      <c r="H163" s="44">
        <v>849.76</v>
      </c>
      <c r="I163" s="45">
        <f t="shared" si="7"/>
        <v>1673.87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442</v>
      </c>
      <c r="G164" s="44">
        <v>1109.1600000000001</v>
      </c>
      <c r="H164" s="44">
        <v>849.76</v>
      </c>
      <c r="I164" s="45">
        <f t="shared" si="7"/>
        <v>1958.92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443</v>
      </c>
      <c r="G165" s="44">
        <v>811.5</v>
      </c>
      <c r="H165" s="44">
        <v>849.76</v>
      </c>
      <c r="I165" s="45">
        <f t="shared" si="7"/>
        <v>1661.26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341</v>
      </c>
      <c r="B166" s="55" t="s">
        <v>342</v>
      </c>
      <c r="C166" s="57" t="s">
        <v>366</v>
      </c>
      <c r="D166" s="57" t="s">
        <v>199</v>
      </c>
      <c r="E166" s="46">
        <v>1</v>
      </c>
      <c r="F166" s="43" t="s">
        <v>444</v>
      </c>
      <c r="G166" s="44">
        <v>831.13</v>
      </c>
      <c r="H166" s="44">
        <v>849.76</v>
      </c>
      <c r="I166" s="45">
        <f t="shared" si="7"/>
        <v>1680.8899999999999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366</v>
      </c>
      <c r="D167" s="57" t="s">
        <v>199</v>
      </c>
      <c r="E167" s="46">
        <v>1</v>
      </c>
      <c r="F167" s="43" t="s">
        <v>445</v>
      </c>
      <c r="G167" s="44">
        <v>844.87</v>
      </c>
      <c r="H167" s="44">
        <v>566.5</v>
      </c>
      <c r="I167" s="45">
        <f t="shared" si="7"/>
        <v>1411.37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346</v>
      </c>
      <c r="B168" s="55" t="s">
        <v>97</v>
      </c>
      <c r="C168" s="57" t="s">
        <v>291</v>
      </c>
      <c r="D168" s="57" t="s">
        <v>199</v>
      </c>
      <c r="E168" s="46">
        <v>1</v>
      </c>
      <c r="F168" s="43" t="s">
        <v>446</v>
      </c>
      <c r="G168" s="44">
        <v>852.4</v>
      </c>
      <c r="H168" s="44">
        <v>566.5</v>
      </c>
      <c r="I168" s="45">
        <f t="shared" si="7"/>
        <v>1418.9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94</v>
      </c>
      <c r="B169" s="55" t="s">
        <v>342</v>
      </c>
      <c r="C169" s="57" t="s">
        <v>291</v>
      </c>
      <c r="D169" s="73" t="s">
        <v>183</v>
      </c>
      <c r="E169" s="46">
        <v>1</v>
      </c>
      <c r="F169" s="79" t="s">
        <v>183</v>
      </c>
      <c r="G169" s="44">
        <v>0</v>
      </c>
      <c r="H169" s="44">
        <v>0</v>
      </c>
      <c r="I169" s="45">
        <f t="shared" si="7"/>
        <v>0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341</v>
      </c>
      <c r="B170" s="55" t="s">
        <v>342</v>
      </c>
      <c r="C170" s="57" t="s">
        <v>291</v>
      </c>
      <c r="D170" s="57" t="s">
        <v>181</v>
      </c>
      <c r="E170" s="46">
        <v>1</v>
      </c>
      <c r="F170" s="43" t="s">
        <v>448</v>
      </c>
      <c r="G170" s="44">
        <v>0</v>
      </c>
      <c r="H170" s="44">
        <v>849.76</v>
      </c>
      <c r="I170" s="45">
        <f t="shared" si="7"/>
        <v>849.76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449</v>
      </c>
      <c r="G171" s="44">
        <v>852.4</v>
      </c>
      <c r="H171" s="44">
        <v>1392.8</v>
      </c>
      <c r="I171" s="45">
        <f t="shared" si="7"/>
        <v>2245.1999999999998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450</v>
      </c>
      <c r="G172" s="44">
        <v>844.87</v>
      </c>
      <c r="H172" s="44">
        <v>1392.8</v>
      </c>
      <c r="I172" s="45">
        <f t="shared" si="7"/>
        <v>2237.67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340</v>
      </c>
      <c r="B173" s="55" t="s">
        <v>93</v>
      </c>
      <c r="C173" s="57" t="s">
        <v>291</v>
      </c>
      <c r="D173" s="57" t="s">
        <v>199</v>
      </c>
      <c r="E173" s="46">
        <v>1</v>
      </c>
      <c r="F173" s="43" t="s">
        <v>451</v>
      </c>
      <c r="G173" s="44">
        <v>852.4</v>
      </c>
      <c r="H173" s="44">
        <v>1392.8</v>
      </c>
      <c r="I173" s="45">
        <f t="shared" si="7"/>
        <v>2245.1999999999998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346</v>
      </c>
      <c r="B174" s="55" t="s">
        <v>97</v>
      </c>
      <c r="C174" s="57" t="s">
        <v>291</v>
      </c>
      <c r="D174" s="57" t="s">
        <v>199</v>
      </c>
      <c r="E174" s="46">
        <v>1</v>
      </c>
      <c r="F174" s="79" t="s">
        <v>519</v>
      </c>
      <c r="G174" s="44">
        <v>1509.2</v>
      </c>
      <c r="H174" s="44">
        <v>566.5</v>
      </c>
      <c r="I174" s="45">
        <f t="shared" si="7"/>
        <v>2075.6999999999998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344</v>
      </c>
      <c r="B175" s="55" t="s">
        <v>345</v>
      </c>
      <c r="C175" s="57" t="s">
        <v>291</v>
      </c>
      <c r="D175" s="57" t="s">
        <v>199</v>
      </c>
      <c r="E175" s="46">
        <v>1</v>
      </c>
      <c r="F175" s="43" t="s">
        <v>453</v>
      </c>
      <c r="G175" s="44">
        <v>1509.2</v>
      </c>
      <c r="H175" s="44">
        <v>505.81</v>
      </c>
      <c r="I175" s="45">
        <f t="shared" si="7"/>
        <v>2015.01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367</v>
      </c>
      <c r="B176" s="55" t="s">
        <v>103</v>
      </c>
      <c r="C176" s="57" t="s">
        <v>291</v>
      </c>
      <c r="D176" s="57" t="s">
        <v>199</v>
      </c>
      <c r="E176" s="46">
        <v>1</v>
      </c>
      <c r="F176" s="43" t="s">
        <v>454</v>
      </c>
      <c r="G176" s="44">
        <v>1509.2</v>
      </c>
      <c r="H176" s="44">
        <v>364.17</v>
      </c>
      <c r="I176" s="45">
        <f t="shared" si="7"/>
        <v>1873.3700000000001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79" t="s">
        <v>487</v>
      </c>
      <c r="G177" s="44">
        <v>809.06</v>
      </c>
      <c r="H177" s="44">
        <v>1392.8</v>
      </c>
      <c r="I177" s="45">
        <f t="shared" si="7"/>
        <v>2201.8599999999997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181</v>
      </c>
      <c r="E178" s="46">
        <v>1</v>
      </c>
      <c r="F178" s="79" t="s">
        <v>520</v>
      </c>
      <c r="G178" s="44">
        <v>1509.2</v>
      </c>
      <c r="H178" s="44">
        <v>1392.8</v>
      </c>
      <c r="I178" s="45">
        <f t="shared" si="7"/>
        <v>2902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340</v>
      </c>
      <c r="B179" s="55" t="s">
        <v>93</v>
      </c>
      <c r="C179" s="57" t="s">
        <v>203</v>
      </c>
      <c r="D179" s="57" t="s">
        <v>199</v>
      </c>
      <c r="E179" s="46">
        <v>1</v>
      </c>
      <c r="F179" s="43" t="s">
        <v>457</v>
      </c>
      <c r="G179" s="44">
        <v>1509.2</v>
      </c>
      <c r="H179" s="44">
        <v>1392.8</v>
      </c>
      <c r="I179" s="45">
        <f t="shared" si="7"/>
        <v>2902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346</v>
      </c>
      <c r="B180" s="55" t="s">
        <v>97</v>
      </c>
      <c r="C180" s="57" t="s">
        <v>295</v>
      </c>
      <c r="D180" s="57" t="s">
        <v>199</v>
      </c>
      <c r="E180" s="46">
        <v>1</v>
      </c>
      <c r="F180" s="43" t="s">
        <v>458</v>
      </c>
      <c r="G180" s="44">
        <v>844.87</v>
      </c>
      <c r="H180" s="44">
        <v>566.5</v>
      </c>
      <c r="I180" s="45">
        <f t="shared" si="7"/>
        <v>1411.37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295</v>
      </c>
      <c r="D181" s="57" t="s">
        <v>199</v>
      </c>
      <c r="E181" s="46">
        <v>1</v>
      </c>
      <c r="F181" s="43" t="s">
        <v>459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299</v>
      </c>
      <c r="D182" s="57" t="s">
        <v>199</v>
      </c>
      <c r="E182" s="46">
        <v>1</v>
      </c>
      <c r="F182" s="43" t="s">
        <v>460</v>
      </c>
      <c r="G182" s="44">
        <v>1509.2</v>
      </c>
      <c r="H182" s="44">
        <v>849.76</v>
      </c>
      <c r="I182" s="45">
        <f t="shared" si="7"/>
        <v>2358.96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341</v>
      </c>
      <c r="B183" s="55" t="s">
        <v>342</v>
      </c>
      <c r="C183" s="57" t="s">
        <v>368</v>
      </c>
      <c r="D183" s="57" t="s">
        <v>199</v>
      </c>
      <c r="E183" s="46">
        <v>1</v>
      </c>
      <c r="F183" s="43" t="s">
        <v>461</v>
      </c>
      <c r="G183" s="44">
        <v>987.85</v>
      </c>
      <c r="H183" s="44">
        <v>849.76</v>
      </c>
      <c r="I183" s="45">
        <f t="shared" si="7"/>
        <v>1837.6100000000001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462</v>
      </c>
      <c r="G184" s="44">
        <v>990.49</v>
      </c>
      <c r="H184" s="44">
        <v>505.81</v>
      </c>
      <c r="I184" s="45">
        <f t="shared" si="7"/>
        <v>1496.3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344</v>
      </c>
      <c r="B185" s="55" t="s">
        <v>345</v>
      </c>
      <c r="C185" s="57" t="s">
        <v>368</v>
      </c>
      <c r="D185" s="57" t="s">
        <v>199</v>
      </c>
      <c r="E185" s="46">
        <v>1</v>
      </c>
      <c r="F185" s="43" t="s">
        <v>463</v>
      </c>
      <c r="G185" s="44">
        <v>987.85</v>
      </c>
      <c r="H185" s="44">
        <v>505.81</v>
      </c>
      <c r="I185" s="45">
        <f t="shared" si="7"/>
        <v>1493.66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368</v>
      </c>
      <c r="D186" s="57" t="s">
        <v>199</v>
      </c>
      <c r="E186" s="46">
        <v>1</v>
      </c>
      <c r="F186" s="43" t="s">
        <v>464</v>
      </c>
      <c r="G186" s="44">
        <v>974.09</v>
      </c>
      <c r="H186" s="44">
        <v>566.5</v>
      </c>
      <c r="I186" s="45">
        <f t="shared" si="7"/>
        <v>1540.5900000000001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346</v>
      </c>
      <c r="B187" s="55" t="s">
        <v>97</v>
      </c>
      <c r="C187" s="57" t="s">
        <v>369</v>
      </c>
      <c r="D187" s="57" t="s">
        <v>199</v>
      </c>
      <c r="E187" s="46">
        <v>1</v>
      </c>
      <c r="F187" s="43" t="s">
        <v>465</v>
      </c>
      <c r="G187" s="44">
        <v>852.4</v>
      </c>
      <c r="H187" s="44">
        <v>566.5</v>
      </c>
      <c r="I187" s="45">
        <f t="shared" si="7"/>
        <v>1418.9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341</v>
      </c>
      <c r="B188" s="55" t="s">
        <v>342</v>
      </c>
      <c r="C188" s="57" t="s">
        <v>370</v>
      </c>
      <c r="D188" s="73" t="s">
        <v>199</v>
      </c>
      <c r="E188" s="46">
        <v>1</v>
      </c>
      <c r="F188" s="79" t="s">
        <v>496</v>
      </c>
      <c r="G188" s="44">
        <v>24932.44</v>
      </c>
      <c r="H188" s="44">
        <v>849.76</v>
      </c>
      <c r="I188" s="45">
        <f t="shared" si="7"/>
        <v>25782.199999999997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370</v>
      </c>
      <c r="D189" s="57" t="s">
        <v>181</v>
      </c>
      <c r="E189" s="46">
        <v>1</v>
      </c>
      <c r="F189" s="43" t="s">
        <v>467</v>
      </c>
      <c r="G189" s="44">
        <v>0</v>
      </c>
      <c r="H189" s="44">
        <v>566.5</v>
      </c>
      <c r="I189" s="45">
        <f t="shared" si="7"/>
        <v>566.5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371</v>
      </c>
      <c r="D190" s="73" t="s">
        <v>199</v>
      </c>
      <c r="E190" s="46">
        <v>1</v>
      </c>
      <c r="F190" s="79" t="s">
        <v>516</v>
      </c>
      <c r="G190" s="44">
        <v>16704.73</v>
      </c>
      <c r="H190" s="44">
        <v>566.5</v>
      </c>
      <c r="I190" s="45">
        <f t="shared" si="7"/>
        <v>17271.23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47" t="s">
        <v>346</v>
      </c>
      <c r="B191" s="55" t="s">
        <v>97</v>
      </c>
      <c r="C191" s="57" t="s">
        <v>372</v>
      </c>
      <c r="D191" s="57" t="s">
        <v>199</v>
      </c>
      <c r="E191" s="46">
        <v>1</v>
      </c>
      <c r="F191" s="43" t="s">
        <v>469</v>
      </c>
      <c r="G191" s="44">
        <v>853.96</v>
      </c>
      <c r="H191" s="44">
        <v>566.5</v>
      </c>
      <c r="I191" s="45">
        <f t="shared" si="7"/>
        <v>1420.46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340</v>
      </c>
      <c r="B192" s="55" t="s">
        <v>93</v>
      </c>
      <c r="C192" s="55" t="s">
        <v>373</v>
      </c>
      <c r="D192" s="57" t="s">
        <v>181</v>
      </c>
      <c r="E192" s="46">
        <v>1</v>
      </c>
      <c r="F192" s="72" t="s">
        <v>474</v>
      </c>
      <c r="G192" s="44">
        <v>0</v>
      </c>
      <c r="H192" s="44">
        <v>1392.8</v>
      </c>
      <c r="I192" s="45">
        <f t="shared" si="7"/>
        <v>1392.8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365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471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340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472</v>
      </c>
      <c r="G194" s="44">
        <v>837.26</v>
      </c>
      <c r="H194" s="44">
        <v>1392.8</v>
      </c>
      <c r="I194" s="45">
        <f t="shared" si="7"/>
        <v>2230.06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365</v>
      </c>
      <c r="B195" s="55" t="s">
        <v>93</v>
      </c>
      <c r="C195" s="55" t="s">
        <v>373</v>
      </c>
      <c r="D195" s="57" t="s">
        <v>199</v>
      </c>
      <c r="E195" s="46">
        <v>1</v>
      </c>
      <c r="F195" s="56" t="s">
        <v>473</v>
      </c>
      <c r="G195" s="44">
        <v>844.13</v>
      </c>
      <c r="H195" s="44">
        <v>1392.8</v>
      </c>
      <c r="I195" s="45">
        <f t="shared" si="7"/>
        <v>2236.9299999999998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346</v>
      </c>
      <c r="B196" s="55" t="s">
        <v>97</v>
      </c>
      <c r="C196" s="55" t="s">
        <v>373</v>
      </c>
      <c r="D196" s="73" t="s">
        <v>199</v>
      </c>
      <c r="E196" s="46">
        <v>1</v>
      </c>
      <c r="F196" s="89" t="s">
        <v>420</v>
      </c>
      <c r="G196" s="44">
        <v>953.37</v>
      </c>
      <c r="H196" s="44">
        <v>566.5</v>
      </c>
      <c r="I196" s="45">
        <f t="shared" si="7"/>
        <v>1519.87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475</v>
      </c>
      <c r="G197" s="44">
        <v>830.46</v>
      </c>
      <c r="H197" s="44">
        <v>1392.8</v>
      </c>
      <c r="I197" s="45">
        <f t="shared" si="7"/>
        <v>2223.2600000000002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x14ac:dyDescent="0.2">
      <c r="A198" s="56" t="s">
        <v>365</v>
      </c>
      <c r="B198" s="55" t="s">
        <v>93</v>
      </c>
      <c r="C198" s="55" t="s">
        <v>373</v>
      </c>
      <c r="D198" s="57" t="s">
        <v>199</v>
      </c>
      <c r="E198" s="46">
        <v>1</v>
      </c>
      <c r="F198" s="56" t="s">
        <v>476</v>
      </c>
      <c r="G198" s="44">
        <v>837.13</v>
      </c>
      <c r="H198" s="44">
        <v>1392.8</v>
      </c>
      <c r="I198" s="45">
        <f t="shared" si="7"/>
        <v>2229.9299999999998</v>
      </c>
      <c r="J198" s="21"/>
      <c r="K198" s="21"/>
      <c r="L198" s="21"/>
      <c r="M198" s="21"/>
      <c r="N198" s="21"/>
      <c r="O198" s="21"/>
      <c r="P198" s="21"/>
      <c r="Q198" s="21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45" x14ac:dyDescent="0.2">
      <c r="A199" s="63" t="s">
        <v>84</v>
      </c>
      <c r="B199" s="63" t="s">
        <v>85</v>
      </c>
      <c r="C199" s="35" t="s">
        <v>86</v>
      </c>
      <c r="D199" s="35" t="s">
        <v>87</v>
      </c>
      <c r="E199" s="35" t="s">
        <v>88</v>
      </c>
      <c r="F199" s="48"/>
      <c r="G199" s="35" t="s">
        <v>89</v>
      </c>
      <c r="H199" s="35" t="s">
        <v>90</v>
      </c>
      <c r="I199" s="35" t="s">
        <v>91</v>
      </c>
      <c r="J199" s="21"/>
      <c r="K199" s="21"/>
      <c r="L199" s="21"/>
      <c r="M199" s="21"/>
      <c r="N199" s="21"/>
      <c r="O199" s="21"/>
      <c r="P199" s="21"/>
      <c r="Q199" s="21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spans="1:30" x14ac:dyDescent="0.2">
      <c r="A200" s="58" t="s">
        <v>92</v>
      </c>
      <c r="B200" s="59" t="s">
        <v>93</v>
      </c>
      <c r="C200" s="28">
        <f>SUMIFS($E$95:$E$198,$B$95:$B$198,"FGS-1",$D$95:$D$198,"&lt;&gt;VAGO")</f>
        <v>43</v>
      </c>
      <c r="D200" s="28">
        <f>SUMIFS($E$95:$E$198,$B$95:$B$198,"FGS-1",$D$95:$D$198,"VAGO")</f>
        <v>1</v>
      </c>
      <c r="E200" s="28">
        <f t="shared" ref="E200:E205" si="8">C200+D200</f>
        <v>44</v>
      </c>
      <c r="F200" s="29"/>
      <c r="G200" s="45">
        <f>SUMIF($B$95:$B$198,"FGS-1",$G$95:$G$198)</f>
        <v>25067.570000000003</v>
      </c>
      <c r="H200" s="45">
        <f>SUMIF($B$95:$B$198,"FGS-1",$H$95:$H$198)</f>
        <v>59890.400000000045</v>
      </c>
      <c r="I200" s="71">
        <f>SUMIF($B$95:$B$198,"FGS-1",$I$95:$I$198)</f>
        <v>84957.969999999987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94</v>
      </c>
      <c r="B201" s="59" t="s">
        <v>95</v>
      </c>
      <c r="C201" s="28">
        <f>SUMIFS($E$95:$E$198,$B$95:$B$198,"FGS-2",$D$95:$D$198,"&lt;&gt;VAGO")</f>
        <v>19</v>
      </c>
      <c r="D201" s="28">
        <f>SUMIFS($E$95:$E$198,$B$95:$B$198,"FGS-2",$D$95:$D$198,"VAGO")</f>
        <v>1</v>
      </c>
      <c r="E201" s="28">
        <f t="shared" si="8"/>
        <v>20</v>
      </c>
      <c r="F201" s="32"/>
      <c r="G201" s="45">
        <f>SUMIF($B$95:$B$198,"FGS-2",$G$95:$G$198)</f>
        <v>41312.22</v>
      </c>
      <c r="H201" s="45">
        <f>SUMIF($B$95:$B$198,"FGS-2",$H$95:$H$198)</f>
        <v>16145.440000000002</v>
      </c>
      <c r="I201" s="71">
        <f>SUMIF($B$95:$B$198,"FGS-2",$I$95:$I$198)</f>
        <v>57457.659999999989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58" t="s">
        <v>96</v>
      </c>
      <c r="B202" s="59" t="s">
        <v>97</v>
      </c>
      <c r="C202" s="28">
        <f>SUMIFS($E$95:$E$198,$B$95:$B$198,"FGS-3",$D$95:$D$198,"&lt;&gt;VAGO")</f>
        <v>32</v>
      </c>
      <c r="D202" s="28">
        <f>SUMIFS($E$95:$E$198,$B$95:$B$198,"FGS-3",$D$95:$D$198,"VAGO")</f>
        <v>0</v>
      </c>
      <c r="E202" s="28">
        <f t="shared" si="8"/>
        <v>32</v>
      </c>
      <c r="F202" s="32"/>
      <c r="G202" s="45">
        <f>SUMIF($B$95:$B$198,"FGS-3",$G$95:$G$198)</f>
        <v>52651.41</v>
      </c>
      <c r="H202" s="45">
        <f>SUMIF($B$95:$B$198,"FGS-3",$H$95:$H$198)</f>
        <v>18954.3</v>
      </c>
      <c r="I202" s="71">
        <f>SUMIF($B$95:$B$198,"FGS-3",$I$95:$I$198)</f>
        <v>71605.710000000006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60" t="s">
        <v>98</v>
      </c>
      <c r="B203" s="61" t="s">
        <v>99</v>
      </c>
      <c r="C203" s="28">
        <f>SUMIFS($E$95:$E$198,$B$95:$B$198,"FGA-1",$D$95:$D$198,"&lt;&gt;VAGO")</f>
        <v>5</v>
      </c>
      <c r="D203" s="28">
        <f>SUMIFS($E$95:$E$198,$B$95:$B$198,"FGA-1",$D$95:$D$198,"VAGO")</f>
        <v>0</v>
      </c>
      <c r="E203" s="28">
        <f t="shared" si="8"/>
        <v>5</v>
      </c>
      <c r="F203" s="34"/>
      <c r="G203" s="45">
        <f>SUMIF($B$95:$B$198,"FGA-1",$G$95:$G$198)</f>
        <v>5171.2</v>
      </c>
      <c r="H203" s="45">
        <f>SUMIF($B$95:$B$198,"FGA-1",$H$95:$H$198)</f>
        <v>2529.0500000000002</v>
      </c>
      <c r="I203" s="71">
        <f>SUMIF($B$95:$B$198,"FGA-1",$I$95:$I$198)</f>
        <v>7700.25</v>
      </c>
      <c r="J203" s="21"/>
      <c r="K203" s="21"/>
      <c r="L203" s="21"/>
      <c r="M203" s="21"/>
      <c r="N203" s="21"/>
      <c r="O203" s="21"/>
      <c r="P203" s="21"/>
      <c r="Q203" s="21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100</v>
      </c>
      <c r="B204" s="59" t="s">
        <v>101</v>
      </c>
      <c r="C204" s="28">
        <f>SUMIFS($E$95:$E$198,$B$95:$B$198,"FGA-2",$D$95:$D$198,"&lt;&gt;VAGO")</f>
        <v>2</v>
      </c>
      <c r="D204" s="28">
        <f>SUMIFS($E$95:$E$198,$B$95:$B$198,"FGA-2",$D$95:$D$198,"VAGO")</f>
        <v>0</v>
      </c>
      <c r="E204" s="28">
        <f t="shared" si="8"/>
        <v>2</v>
      </c>
      <c r="F204" s="34"/>
      <c r="G204" s="45">
        <f>SUMIF($B$95:$B$198,"FGA-2",$G$95:$G$198)</f>
        <v>2340.46</v>
      </c>
      <c r="H204" s="45">
        <f>SUMIF($B$95:$B$198,"FGA-2",$H$95:$H$198)</f>
        <v>1315.1100000000001</v>
      </c>
      <c r="I204" s="71">
        <f>SUMIF($B$95:$B$198,"FGA-2",$I$95:$I$198)</f>
        <v>3655.57</v>
      </c>
      <c r="J204" s="21"/>
      <c r="K204" s="21"/>
      <c r="L204" s="21"/>
      <c r="M204" s="21"/>
      <c r="N204" s="21"/>
      <c r="O204" s="21"/>
      <c r="P204" s="21"/>
      <c r="Q204" s="21"/>
      <c r="R204" s="40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1:30" x14ac:dyDescent="0.2">
      <c r="A205" s="58" t="s">
        <v>102</v>
      </c>
      <c r="B205" s="59" t="s">
        <v>103</v>
      </c>
      <c r="C205" s="28">
        <f>SUMIFS($E$95:$E$198,$B$95:$B$198,"FGA-3",$D$95:$D$198,"&lt;&gt;VAGO")</f>
        <v>1</v>
      </c>
      <c r="D205" s="28">
        <f>SUMIFS($E$95:$E$198,$B$95:$B$198,"FGA-3",$D$95:$D$198,"VAGO")</f>
        <v>0</v>
      </c>
      <c r="E205" s="28">
        <f t="shared" si="8"/>
        <v>1</v>
      </c>
      <c r="F205" s="32"/>
      <c r="G205" s="45">
        <f>SUMIF($B$95:$B$198,"FGA-3",$G$95:$G$198)</f>
        <v>1509.2</v>
      </c>
      <c r="H205" s="45">
        <f>SUMIF($B$95:$B$198,"FGA-3",$H$95:$H$198)</f>
        <v>364.17</v>
      </c>
      <c r="I205" s="71">
        <f>SUMIF($B$95:$B$198,"FGA-3",$I$95:$I$198)</f>
        <v>1873.3700000000001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0" x14ac:dyDescent="0.2">
      <c r="A206" s="63" t="s">
        <v>104</v>
      </c>
      <c r="B206" s="48"/>
      <c r="C206" s="35">
        <f t="shared" ref="C206:E206" si="9">SUM(C200:C205)</f>
        <v>102</v>
      </c>
      <c r="D206" s="35">
        <f t="shared" si="9"/>
        <v>2</v>
      </c>
      <c r="E206" s="35">
        <f t="shared" si="9"/>
        <v>104</v>
      </c>
      <c r="F206" s="48"/>
      <c r="G206" s="51">
        <f t="shared" ref="G206:I206" si="10">SUM(G200:G205)</f>
        <v>128052.06000000001</v>
      </c>
      <c r="H206" s="51">
        <f t="shared" si="10"/>
        <v>99198.470000000059</v>
      </c>
      <c r="I206" s="51">
        <f t="shared" si="10"/>
        <v>227250.52999999997</v>
      </c>
      <c r="J206" s="21"/>
      <c r="K206" s="21"/>
      <c r="L206" s="21"/>
      <c r="M206" s="21"/>
      <c r="N206" s="21"/>
      <c r="O206" s="21"/>
      <c r="P206" s="21"/>
      <c r="Q206" s="21"/>
      <c r="R206" s="49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spans="1:30" ht="33" customHeight="1" x14ac:dyDescent="0.2">
      <c r="A207" s="37"/>
      <c r="B207" s="37"/>
      <c r="C207" s="37"/>
      <c r="D207" s="37"/>
      <c r="E207" s="37"/>
      <c r="F207" s="37"/>
      <c r="G207" s="37"/>
      <c r="H207" s="37"/>
      <c r="I207" s="62"/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45" x14ac:dyDescent="0.2">
      <c r="A208" s="63"/>
      <c r="B208" s="63"/>
      <c r="C208" s="35" t="s">
        <v>105</v>
      </c>
      <c r="D208" s="35" t="s">
        <v>106</v>
      </c>
      <c r="E208" s="35" t="s">
        <v>107</v>
      </c>
      <c r="F208" s="25"/>
      <c r="G208" s="35" t="s">
        <v>108</v>
      </c>
      <c r="H208" s="35" t="s">
        <v>109</v>
      </c>
      <c r="I208" s="35" t="s">
        <v>110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x14ac:dyDescent="0.2">
      <c r="A209" s="63" t="s">
        <v>111</v>
      </c>
      <c r="B209" s="25"/>
      <c r="C209" s="35">
        <f>SUM(C39+C91+C206)</f>
        <v>157</v>
      </c>
      <c r="D209" s="35">
        <f>SUM(D39+D91+D206)</f>
        <v>9</v>
      </c>
      <c r="E209" s="35">
        <f>SUM(E39+E91+E206)</f>
        <v>166</v>
      </c>
      <c r="F209" s="25"/>
      <c r="G209" s="51">
        <f>SUM(H39+G91+G206)</f>
        <v>217040.1</v>
      </c>
      <c r="H209" s="51">
        <f>SUM(I39+H91+H206)</f>
        <v>318778.14000000007</v>
      </c>
      <c r="I209" s="51">
        <f>SUM(J39+I91+I206)</f>
        <v>553818.24</v>
      </c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ht="30" customHeight="1" x14ac:dyDescent="0.2">
      <c r="A210" s="37"/>
      <c r="B210" s="37"/>
      <c r="C210" s="37"/>
      <c r="D210" s="37"/>
      <c r="E210" s="37"/>
      <c r="F210" s="37"/>
      <c r="G210" s="37"/>
      <c r="H210" s="37"/>
      <c r="I210" s="62"/>
      <c r="J210" s="62"/>
      <c r="K210" s="7"/>
      <c r="L210" s="62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">
      <c r="A211" s="100" t="s">
        <v>112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21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113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1" t="s">
        <v>482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483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481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ht="15" customHeight="1" x14ac:dyDescent="0.2">
      <c r="A216" s="102" t="s">
        <v>480</v>
      </c>
      <c r="B216" s="93"/>
      <c r="C216" s="93"/>
      <c r="D216" s="93"/>
      <c r="E216" s="93"/>
      <c r="F216" s="94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3"/>
      <c r="B217" s="96"/>
      <c r="C217" s="96"/>
      <c r="D217" s="96"/>
      <c r="E217" s="96"/>
      <c r="F217" s="96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0" t="s">
        <v>114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104" t="s">
        <v>115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116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117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118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119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120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121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122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123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124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125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126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127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128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129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130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131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132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133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134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135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136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137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40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1:30" x14ac:dyDescent="0.2">
      <c r="A242" s="92" t="s">
        <v>138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139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140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141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142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143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144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145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146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147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148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149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150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151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152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153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154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x14ac:dyDescent="0.2">
      <c r="A259" s="92" t="s">
        <v>155</v>
      </c>
      <c r="B259" s="93"/>
      <c r="C259" s="93"/>
      <c r="D259" s="93"/>
      <c r="E259" s="93"/>
      <c r="F259" s="94"/>
      <c r="G259" s="21"/>
      <c r="H259" s="37"/>
      <c r="I259" s="37"/>
      <c r="J259" s="37"/>
      <c r="K259" s="37"/>
      <c r="L259" s="37"/>
      <c r="M259" s="62"/>
      <c r="N259" s="62"/>
      <c r="O259" s="62"/>
      <c r="P259" s="62"/>
      <c r="Q259" s="62"/>
      <c r="R259" s="64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156</v>
      </c>
      <c r="B260" s="93"/>
      <c r="C260" s="93"/>
      <c r="D260" s="93"/>
      <c r="E260" s="93"/>
      <c r="F260" s="94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157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158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159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160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161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162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163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164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165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166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167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168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169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170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171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172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173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174</v>
      </c>
      <c r="B278" s="93"/>
      <c r="C278" s="93"/>
      <c r="D278" s="93"/>
      <c r="E278" s="93"/>
      <c r="F278" s="94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92" t="s">
        <v>175</v>
      </c>
      <c r="B279" s="93"/>
      <c r="C279" s="93"/>
      <c r="D279" s="93"/>
      <c r="E279" s="93"/>
      <c r="F279" s="94"/>
      <c r="G279" s="68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</row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</sheetData>
  <mergeCells count="76">
    <mergeCell ref="A276:F276"/>
    <mergeCell ref="A277:F277"/>
    <mergeCell ref="A278:F278"/>
    <mergeCell ref="A279:F279"/>
    <mergeCell ref="A270:F270"/>
    <mergeCell ref="A271:F271"/>
    <mergeCell ref="A272:F272"/>
    <mergeCell ref="A273:F273"/>
    <mergeCell ref="A274:F274"/>
    <mergeCell ref="A275:F275"/>
    <mergeCell ref="A269:F269"/>
    <mergeCell ref="A258:F258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68:F268"/>
    <mergeCell ref="A257:F257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F255"/>
    <mergeCell ref="A256:F256"/>
    <mergeCell ref="A245:F245"/>
    <mergeCell ref="A234:F234"/>
    <mergeCell ref="A235:F235"/>
    <mergeCell ref="A236:F236"/>
    <mergeCell ref="A237:F237"/>
    <mergeCell ref="A238:F238"/>
    <mergeCell ref="A239:F239"/>
    <mergeCell ref="A240:F240"/>
    <mergeCell ref="A241:F241"/>
    <mergeCell ref="A242:F242"/>
    <mergeCell ref="A243:F243"/>
    <mergeCell ref="A244:F244"/>
    <mergeCell ref="A233:F233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32:F232"/>
    <mergeCell ref="A221:F221"/>
    <mergeCell ref="A93:I93"/>
    <mergeCell ref="A211:F211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20:F220"/>
    <mergeCell ref="A41:I41"/>
    <mergeCell ref="A1:J1"/>
    <mergeCell ref="A2:J2"/>
    <mergeCell ref="A3:J3"/>
    <mergeCell ref="B4:J4"/>
    <mergeCell ref="A5:J5"/>
  </mergeCells>
  <dataValidations count="4">
    <dataValidation type="list" allowBlank="1" sqref="B43:B84">
      <formula1>"FDA,FDA-1,FDA-2,FDA-3,FDA-4"</formula1>
    </dataValidation>
    <dataValidation type="list" allowBlank="1" sqref="D95:D198 D7:D26 D43:D84">
      <formula1>"AGP,CLH,CLT,COM,CTD,CTI,DES,DISP,ELE,ESG,EST,EXM,EXQ,EXR,FRQ,REV,VAGO"</formula1>
    </dataValidation>
    <dataValidation type="list" allowBlank="1" sqref="B95:B198">
      <formula1>"FGS-1,FGS-2,FGS-3,FGA-1,FGA-2,FGA-3"</formula1>
    </dataValidation>
    <dataValidation type="list" allowBlank="1" sqref="B7:B26">
      <formula1>"DAS,DAS-1,DAS-2,DAS-3,DAS-4,DAS-5,CAA-1,CAA-2,CAA-3,CAA-4,CAA-5"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9"/>
  <sheetViews>
    <sheetView tabSelected="1" topLeftCell="A160" zoomScale="70" zoomScaleNormal="70" workbookViewId="0">
      <selection activeCell="F193" sqref="F193"/>
    </sheetView>
  </sheetViews>
  <sheetFormatPr defaultColWidth="12.625" defaultRowHeight="15" customHeight="1" x14ac:dyDescent="0.2"/>
  <cols>
    <col min="1" max="1" width="69.75" style="91" bestFit="1" customWidth="1"/>
    <col min="2" max="2" width="9.75" style="91" bestFit="1" customWidth="1"/>
    <col min="3" max="3" width="24" style="91" bestFit="1" customWidth="1"/>
    <col min="4" max="4" width="12.25" style="91" bestFit="1" customWidth="1"/>
    <col min="5" max="5" width="9.25" style="91" bestFit="1" customWidth="1"/>
    <col min="6" max="6" width="44.125" style="91" bestFit="1" customWidth="1"/>
    <col min="7" max="7" width="17.5" style="91" bestFit="1" customWidth="1"/>
    <col min="8" max="8" width="17.875" style="91" bestFit="1" customWidth="1"/>
    <col min="9" max="9" width="17.875" style="91" customWidth="1"/>
    <col min="10" max="10" width="15" style="91" customWidth="1"/>
    <col min="11" max="16" width="8" style="91" customWidth="1"/>
    <col min="17" max="17" width="43.875" style="91" customWidth="1"/>
    <col min="18" max="30" width="8" style="91" customWidth="1"/>
    <col min="31" max="16384" width="12.625" style="91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521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2" t="s">
        <v>182</v>
      </c>
      <c r="B8" s="57" t="s">
        <v>41</v>
      </c>
      <c r="C8" s="57" t="s">
        <v>178</v>
      </c>
      <c r="D8" s="57" t="s">
        <v>183</v>
      </c>
      <c r="E8" s="46">
        <v>1</v>
      </c>
      <c r="F8" s="47" t="s">
        <v>183</v>
      </c>
      <c r="G8" s="44">
        <v>0</v>
      </c>
      <c r="H8" s="44">
        <v>0</v>
      </c>
      <c r="I8" s="44">
        <v>0</v>
      </c>
      <c r="J8" s="45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7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184</v>
      </c>
      <c r="B11" s="57" t="s">
        <v>43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185</v>
      </c>
      <c r="B12" s="57" t="s">
        <v>33</v>
      </c>
      <c r="C12" s="57" t="s">
        <v>178</v>
      </c>
      <c r="D12" s="73" t="s">
        <v>199</v>
      </c>
      <c r="E12" s="46">
        <v>1</v>
      </c>
      <c r="F12" s="47" t="s">
        <v>436</v>
      </c>
      <c r="G12" s="44">
        <v>0</v>
      </c>
      <c r="H12" s="44">
        <v>809.06</v>
      </c>
      <c r="I12" s="44">
        <v>4316.21</v>
      </c>
      <c r="J12" s="45">
        <f t="shared" si="0"/>
        <v>5125.2700000000004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186</v>
      </c>
      <c r="B13" s="57" t="s">
        <v>39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187</v>
      </c>
      <c r="B14" s="57" t="s">
        <v>37</v>
      </c>
      <c r="C14" s="57" t="s">
        <v>178</v>
      </c>
      <c r="D14" s="57" t="s">
        <v>188</v>
      </c>
      <c r="E14" s="46">
        <v>1</v>
      </c>
      <c r="F14" s="47" t="s">
        <v>213</v>
      </c>
      <c r="G14" s="44">
        <v>0</v>
      </c>
      <c r="H14" s="44">
        <v>0</v>
      </c>
      <c r="I14" s="44">
        <v>3083.01</v>
      </c>
      <c r="J14" s="45">
        <f t="shared" si="0"/>
        <v>3083.01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189</v>
      </c>
      <c r="B15" s="57" t="s">
        <v>39</v>
      </c>
      <c r="C15" s="57" t="s">
        <v>190</v>
      </c>
      <c r="D15" s="57" t="s">
        <v>183</v>
      </c>
      <c r="E15" s="46">
        <v>1</v>
      </c>
      <c r="F15" s="47" t="s">
        <v>183</v>
      </c>
      <c r="G15" s="44">
        <v>0</v>
      </c>
      <c r="H15" s="44">
        <v>0</v>
      </c>
      <c r="I15" s="44">
        <v>0</v>
      </c>
      <c r="J15" s="45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191</v>
      </c>
      <c r="B16" s="57" t="s">
        <v>25</v>
      </c>
      <c r="C16" s="57" t="s">
        <v>192</v>
      </c>
      <c r="D16" s="57" t="s">
        <v>181</v>
      </c>
      <c r="E16" s="46">
        <v>1</v>
      </c>
      <c r="F16" s="47" t="s">
        <v>214</v>
      </c>
      <c r="G16" s="44">
        <v>0</v>
      </c>
      <c r="H16" s="44">
        <v>0</v>
      </c>
      <c r="I16" s="44">
        <v>10400</v>
      </c>
      <c r="J16" s="45">
        <f t="shared" si="0"/>
        <v>10400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72" t="s">
        <v>499</v>
      </c>
      <c r="B17" s="57" t="s">
        <v>25</v>
      </c>
      <c r="C17" s="73" t="s">
        <v>178</v>
      </c>
      <c r="D17" s="73" t="s">
        <v>199</v>
      </c>
      <c r="E17" s="46">
        <v>1</v>
      </c>
      <c r="F17" s="72" t="s">
        <v>500</v>
      </c>
      <c r="G17" s="44">
        <v>0</v>
      </c>
      <c r="H17" s="44">
        <v>15956.74</v>
      </c>
      <c r="I17" s="44">
        <v>10053.33</v>
      </c>
      <c r="J17" s="45">
        <f t="shared" si="0"/>
        <v>26010.07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73" t="s">
        <v>199</v>
      </c>
      <c r="E19" s="46">
        <v>1</v>
      </c>
      <c r="F19" s="47" t="s">
        <v>431</v>
      </c>
      <c r="G19" s="44">
        <v>0</v>
      </c>
      <c r="H19" s="44">
        <v>1509.2</v>
      </c>
      <c r="I19" s="44">
        <v>4316.21</v>
      </c>
      <c r="J19" s="45">
        <f t="shared" si="0"/>
        <v>5825.41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181</v>
      </c>
      <c r="E21" s="46">
        <v>1</v>
      </c>
      <c r="F21" s="72" t="s">
        <v>497</v>
      </c>
      <c r="G21" s="44">
        <v>0</v>
      </c>
      <c r="H21" s="44">
        <v>0</v>
      </c>
      <c r="I21" s="44">
        <v>3083.01</v>
      </c>
      <c r="J21" s="45">
        <f t="shared" si="0"/>
        <v>3083.01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181</v>
      </c>
      <c r="E22" s="46">
        <v>1</v>
      </c>
      <c r="F22" s="47" t="s">
        <v>498</v>
      </c>
      <c r="G22" s="44">
        <v>0</v>
      </c>
      <c r="H22" s="44">
        <v>0</v>
      </c>
      <c r="I22" s="44">
        <v>4316.21</v>
      </c>
      <c r="J22" s="45">
        <f t="shared" si="0"/>
        <v>4316.21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73" t="s">
        <v>199</v>
      </c>
      <c r="E23" s="46">
        <v>1</v>
      </c>
      <c r="F23" s="72" t="s">
        <v>513</v>
      </c>
      <c r="G23" s="44">
        <v>0</v>
      </c>
      <c r="H23" s="44">
        <v>809.06</v>
      </c>
      <c r="I23" s="44">
        <v>0</v>
      </c>
      <c r="J23" s="45">
        <f t="shared" si="0"/>
        <v>809.06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188</v>
      </c>
      <c r="E26" s="46">
        <v>1</v>
      </c>
      <c r="F26" s="72" t="s">
        <v>501</v>
      </c>
      <c r="G26" s="44">
        <v>0</v>
      </c>
      <c r="H26" s="44">
        <v>1266.5999999999999</v>
      </c>
      <c r="I26" s="44">
        <v>5066.41</v>
      </c>
      <c r="J26" s="45">
        <f t="shared" si="0"/>
        <v>6333.01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2</v>
      </c>
      <c r="D29" s="28">
        <f>SUMIFS($E$7:$E$26,$B$7:$B$26,"DAS-1",$D$7:$D$26,"VAGO")</f>
        <v>0</v>
      </c>
      <c r="E29" s="28">
        <f t="shared" si="1"/>
        <v>2</v>
      </c>
      <c r="F29" s="32"/>
      <c r="G29" s="30">
        <f>SUMIF($B$7:$B$26,"DAS-1",$G$7:$G$26)</f>
        <v>0</v>
      </c>
      <c r="H29" s="30">
        <f>SUMIF($B$7:$B$26,"DAS-1",$H$7:$H$26)</f>
        <v>15956.74</v>
      </c>
      <c r="I29" s="30">
        <f>SUMIF($B$7:$B$26,"DAS-1",$I$7:$I$26)</f>
        <v>20453.330000000002</v>
      </c>
      <c r="J29" s="30">
        <f>SUMIF($B$7:$B$26,"DAS-1",$J$7:$J$26)</f>
        <v>36410.07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0</v>
      </c>
      <c r="D31" s="28">
        <f>SUMIFS($E$7:$E$26,$B$7:$B$26,"DAS-3",$D$7:$D$26,"VAGO")</f>
        <v>0</v>
      </c>
      <c r="E31" s="28">
        <f t="shared" si="1"/>
        <v>0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0</v>
      </c>
      <c r="J31" s="30">
        <f>SUMIF($B$7:$B$26,"DAS-3",$J$7:$J$26)</f>
        <v>0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1</v>
      </c>
      <c r="D32" s="28">
        <f>SUMIFS($E$7:$E$26,$B$7:$B$26,"DAS-4",$D$7:$D$26,"VAGO")</f>
        <v>0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1266.5999999999999</v>
      </c>
      <c r="I32" s="30">
        <f>SUMIF($B$7:$B$26,"DAS-4",$I$7:$I$26)</f>
        <v>5066.41</v>
      </c>
      <c r="J32" s="30">
        <f>SUMIF($B$7:$B$26,"DAS-4",$J$7:$J$26)</f>
        <v>6333.01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5</v>
      </c>
      <c r="D33" s="28">
        <f>SUMIFS($E$7:$E$26,$B$7:$B$26,"DAS-5",$D$7:$D$26,"VAGO")</f>
        <v>0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3427.42</v>
      </c>
      <c r="I33" s="30">
        <f>SUMIF($B$7:$B$26,"DAS-5",$I$7:$I$26)</f>
        <v>21581.05</v>
      </c>
      <c r="J33" s="30">
        <f>SUMIF($B$7:$B$26,"DAS-5",$J$7:$J$26)</f>
        <v>25008.469999999998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4</v>
      </c>
      <c r="D35" s="28">
        <f>SUMIFS($E$7:$E$26,$B$7:$B$26,"CAA-2",$D$7:$D$26,"VAGO")</f>
        <v>1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25741.5</v>
      </c>
      <c r="I35" s="30">
        <f>SUMIF($B$7:$B$26,"CAA-2",$I$7:$I$26)</f>
        <v>9249.0300000000007</v>
      </c>
      <c r="J35" s="30">
        <f>SUMIF($B$7:$B$26,"CAA-2",$J$7:$J$26)</f>
        <v>34990.53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13</v>
      </c>
      <c r="D39" s="35">
        <f>SUM(D28:D38)</f>
        <v>7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46392.26</v>
      </c>
      <c r="I39" s="36">
        <f t="shared" si="2"/>
        <v>56349.82</v>
      </c>
      <c r="J39" s="36">
        <f t="shared" si="2"/>
        <v>120742.08</v>
      </c>
      <c r="K39" s="37"/>
      <c r="L39" s="37"/>
      <c r="M39" s="37"/>
      <c r="N39" s="37"/>
      <c r="O39" s="37"/>
      <c r="P39" s="37"/>
      <c r="Q39" s="37"/>
    </row>
    <row r="40" spans="1:30" ht="45.75" customHeight="1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4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180</v>
      </c>
      <c r="B44" s="42" t="s">
        <v>66</v>
      </c>
      <c r="C44" s="57" t="s">
        <v>178</v>
      </c>
      <c r="D44" s="57" t="s">
        <v>181</v>
      </c>
      <c r="E44" s="46">
        <v>1</v>
      </c>
      <c r="F44" s="72" t="s">
        <v>306</v>
      </c>
      <c r="G44" s="44">
        <v>0</v>
      </c>
      <c r="H44" s="44">
        <v>5688.14</v>
      </c>
      <c r="I44" s="45">
        <f t="shared" si="3"/>
        <v>5688.14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72" t="s">
        <v>222</v>
      </c>
      <c r="B45" s="42" t="s">
        <v>68</v>
      </c>
      <c r="C45" s="57" t="s">
        <v>223</v>
      </c>
      <c r="D45" s="57" t="s">
        <v>199</v>
      </c>
      <c r="E45" s="46">
        <v>1</v>
      </c>
      <c r="F45" s="43" t="s">
        <v>301</v>
      </c>
      <c r="G45" s="44">
        <v>16704.73</v>
      </c>
      <c r="H45" s="44">
        <v>5241.1099999999997</v>
      </c>
      <c r="I45" s="45">
        <f t="shared" si="3"/>
        <v>21945.84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224</v>
      </c>
      <c r="B46" s="42" t="s">
        <v>72</v>
      </c>
      <c r="C46" s="57" t="s">
        <v>225</v>
      </c>
      <c r="D46" s="57" t="s">
        <v>181</v>
      </c>
      <c r="E46" s="46">
        <v>1</v>
      </c>
      <c r="F46" s="47" t="s">
        <v>302</v>
      </c>
      <c r="G46" s="44">
        <v>0</v>
      </c>
      <c r="H46" s="44">
        <v>3083.01</v>
      </c>
      <c r="I46" s="45">
        <f t="shared" si="3"/>
        <v>3083.01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226</v>
      </c>
      <c r="B47" s="42" t="s">
        <v>66</v>
      </c>
      <c r="C47" s="57" t="s">
        <v>227</v>
      </c>
      <c r="D47" s="57" t="s">
        <v>181</v>
      </c>
      <c r="E47" s="46">
        <v>1</v>
      </c>
      <c r="F47" s="47" t="s">
        <v>303</v>
      </c>
      <c r="G47" s="44">
        <v>0</v>
      </c>
      <c r="H47" s="44">
        <v>5703.56</v>
      </c>
      <c r="I47" s="45">
        <f t="shared" si="3"/>
        <v>5703.56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228</v>
      </c>
      <c r="B48" s="42" t="s">
        <v>72</v>
      </c>
      <c r="C48" s="57" t="s">
        <v>229</v>
      </c>
      <c r="D48" s="57" t="s">
        <v>181</v>
      </c>
      <c r="E48" s="46">
        <v>1</v>
      </c>
      <c r="F48" s="47" t="s">
        <v>304</v>
      </c>
      <c r="G48" s="44">
        <v>0</v>
      </c>
      <c r="H48" s="44">
        <v>3083.01</v>
      </c>
      <c r="I48" s="45">
        <f t="shared" si="3"/>
        <v>3083.01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230</v>
      </c>
      <c r="B49" s="42" t="s">
        <v>68</v>
      </c>
      <c r="C49" s="57" t="s">
        <v>231</v>
      </c>
      <c r="D49" s="57" t="s">
        <v>199</v>
      </c>
      <c r="E49" s="46">
        <v>1</v>
      </c>
      <c r="F49" s="47" t="s">
        <v>305</v>
      </c>
      <c r="G49" s="44">
        <v>16704.73</v>
      </c>
      <c r="H49" s="44">
        <v>5241.1099999999997</v>
      </c>
      <c r="I49" s="45">
        <f t="shared" si="3"/>
        <v>21945.84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232</v>
      </c>
      <c r="B50" s="42" t="s">
        <v>68</v>
      </c>
      <c r="C50" s="57" t="s">
        <v>233</v>
      </c>
      <c r="D50" s="57" t="s">
        <v>199</v>
      </c>
      <c r="E50" s="46">
        <v>1</v>
      </c>
      <c r="F50" s="72" t="s">
        <v>494</v>
      </c>
      <c r="G50" s="44">
        <v>1509.2</v>
      </c>
      <c r="H50" s="44">
        <v>5241.1099999999997</v>
      </c>
      <c r="I50" s="45">
        <f t="shared" si="3"/>
        <v>6750.3099999999995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234</v>
      </c>
      <c r="B51" s="42" t="s">
        <v>68</v>
      </c>
      <c r="C51" s="57" t="s">
        <v>223</v>
      </c>
      <c r="D51" s="57" t="s">
        <v>199</v>
      </c>
      <c r="E51" s="46">
        <v>1</v>
      </c>
      <c r="F51" s="47" t="s">
        <v>504</v>
      </c>
      <c r="G51" s="44">
        <v>809.06</v>
      </c>
      <c r="H51" s="44">
        <v>5241.1099999999997</v>
      </c>
      <c r="I51" s="45">
        <f t="shared" si="3"/>
        <v>6050.17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235</v>
      </c>
      <c r="B52" s="42" t="s">
        <v>66</v>
      </c>
      <c r="C52" s="57" t="s">
        <v>236</v>
      </c>
      <c r="D52" s="57" t="s">
        <v>181</v>
      </c>
      <c r="E52" s="46">
        <v>1</v>
      </c>
      <c r="F52" s="47" t="s">
        <v>308</v>
      </c>
      <c r="G52" s="44">
        <v>0</v>
      </c>
      <c r="H52" s="44">
        <v>5703.56</v>
      </c>
      <c r="I52" s="45">
        <f t="shared" si="3"/>
        <v>5703.56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237</v>
      </c>
      <c r="B53" s="42" t="s">
        <v>72</v>
      </c>
      <c r="C53" s="57" t="s">
        <v>238</v>
      </c>
      <c r="D53" s="57" t="s">
        <v>181</v>
      </c>
      <c r="E53" s="46">
        <v>1</v>
      </c>
      <c r="F53" s="47" t="s">
        <v>309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239</v>
      </c>
      <c r="B54" s="42" t="s">
        <v>72</v>
      </c>
      <c r="C54" s="57" t="s">
        <v>240</v>
      </c>
      <c r="D54" s="57" t="s">
        <v>181</v>
      </c>
      <c r="E54" s="46">
        <v>1</v>
      </c>
      <c r="F54" s="47" t="s">
        <v>310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241</v>
      </c>
      <c r="B55" s="42" t="s">
        <v>72</v>
      </c>
      <c r="C55" s="57" t="s">
        <v>242</v>
      </c>
      <c r="D55" s="57" t="s">
        <v>181</v>
      </c>
      <c r="E55" s="46">
        <v>1</v>
      </c>
      <c r="F55" s="47" t="s">
        <v>311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243</v>
      </c>
      <c r="B56" s="42" t="s">
        <v>72</v>
      </c>
      <c r="C56" s="57" t="s">
        <v>244</v>
      </c>
      <c r="D56" s="57" t="s">
        <v>181</v>
      </c>
      <c r="E56" s="46">
        <v>1</v>
      </c>
      <c r="F56" s="47" t="s">
        <v>312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245</v>
      </c>
      <c r="B57" s="42" t="s">
        <v>72</v>
      </c>
      <c r="C57" s="57" t="s">
        <v>246</v>
      </c>
      <c r="D57" s="57" t="s">
        <v>181</v>
      </c>
      <c r="E57" s="46">
        <v>1</v>
      </c>
      <c r="F57" s="47" t="s">
        <v>313</v>
      </c>
      <c r="G57" s="44">
        <v>0</v>
      </c>
      <c r="H57" s="44">
        <v>3083.01</v>
      </c>
      <c r="I57" s="45">
        <f t="shared" si="3"/>
        <v>3083.01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247</v>
      </c>
      <c r="B58" s="42" t="s">
        <v>66</v>
      </c>
      <c r="C58" s="57" t="s">
        <v>248</v>
      </c>
      <c r="D58" s="57" t="s">
        <v>181</v>
      </c>
      <c r="E58" s="46">
        <v>1</v>
      </c>
      <c r="F58" s="76" t="s">
        <v>317</v>
      </c>
      <c r="G58" s="44">
        <v>0</v>
      </c>
      <c r="H58" s="44">
        <v>5703.56</v>
      </c>
      <c r="I58" s="45">
        <f t="shared" si="3"/>
        <v>5703.56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249</v>
      </c>
      <c r="B59" s="42" t="s">
        <v>72</v>
      </c>
      <c r="C59" s="57" t="s">
        <v>250</v>
      </c>
      <c r="D59" s="73" t="s">
        <v>199</v>
      </c>
      <c r="E59" s="46">
        <v>1</v>
      </c>
      <c r="F59" s="72" t="s">
        <v>522</v>
      </c>
      <c r="G59" s="44">
        <v>1509.2</v>
      </c>
      <c r="H59" s="44">
        <v>3083.01</v>
      </c>
      <c r="I59" s="45">
        <f t="shared" si="3"/>
        <v>4592.21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251</v>
      </c>
      <c r="B60" s="42" t="s">
        <v>72</v>
      </c>
      <c r="C60" s="57" t="s">
        <v>252</v>
      </c>
      <c r="D60" s="57" t="s">
        <v>199</v>
      </c>
      <c r="E60" s="46">
        <v>1</v>
      </c>
      <c r="F60" s="47" t="s">
        <v>316</v>
      </c>
      <c r="G60" s="44">
        <v>831.26</v>
      </c>
      <c r="H60" s="44">
        <v>3083.01</v>
      </c>
      <c r="I60" s="45">
        <f t="shared" si="3"/>
        <v>3914.2700000000004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253</v>
      </c>
      <c r="B61" s="42" t="s">
        <v>70</v>
      </c>
      <c r="C61" s="57" t="s">
        <v>254</v>
      </c>
      <c r="D61" s="73" t="s">
        <v>181</v>
      </c>
      <c r="E61" s="46">
        <v>1</v>
      </c>
      <c r="F61" s="72" t="s">
        <v>514</v>
      </c>
      <c r="G61" s="44">
        <v>0</v>
      </c>
      <c r="H61" s="44">
        <v>4316.21</v>
      </c>
      <c r="I61" s="45">
        <f t="shared" si="3"/>
        <v>4316.21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255</v>
      </c>
      <c r="B62" s="42" t="s">
        <v>72</v>
      </c>
      <c r="C62" s="57" t="s">
        <v>256</v>
      </c>
      <c r="D62" s="73" t="s">
        <v>199</v>
      </c>
      <c r="E62" s="46">
        <v>1</v>
      </c>
      <c r="F62" s="72" t="s">
        <v>515</v>
      </c>
      <c r="G62" s="44">
        <v>1509.2</v>
      </c>
      <c r="H62" s="44">
        <v>3083.01</v>
      </c>
      <c r="I62" s="45">
        <f t="shared" si="3"/>
        <v>4592.21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257</v>
      </c>
      <c r="B63" s="42" t="s">
        <v>72</v>
      </c>
      <c r="C63" s="57" t="s">
        <v>258</v>
      </c>
      <c r="D63" s="57" t="s">
        <v>181</v>
      </c>
      <c r="E63" s="46">
        <v>1</v>
      </c>
      <c r="F63" s="47" t="s">
        <v>319</v>
      </c>
      <c r="G63" s="44">
        <v>0</v>
      </c>
      <c r="H63" s="44">
        <v>3083.01</v>
      </c>
      <c r="I63" s="45">
        <f t="shared" si="3"/>
        <v>3083.01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259</v>
      </c>
      <c r="B64" s="42" t="s">
        <v>66</v>
      </c>
      <c r="C64" s="57" t="s">
        <v>260</v>
      </c>
      <c r="D64" s="57" t="s">
        <v>181</v>
      </c>
      <c r="E64" s="46">
        <v>1</v>
      </c>
      <c r="F64" s="47" t="s">
        <v>320</v>
      </c>
      <c r="G64" s="44">
        <v>0</v>
      </c>
      <c r="H64" s="44">
        <v>5703.56</v>
      </c>
      <c r="I64" s="45">
        <f t="shared" si="3"/>
        <v>5703.56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261</v>
      </c>
      <c r="B65" s="42" t="s">
        <v>72</v>
      </c>
      <c r="C65" s="57" t="s">
        <v>262</v>
      </c>
      <c r="D65" s="57" t="s">
        <v>181</v>
      </c>
      <c r="E65" s="46">
        <v>1</v>
      </c>
      <c r="F65" s="47" t="s">
        <v>321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263</v>
      </c>
      <c r="B66" s="42" t="s">
        <v>72</v>
      </c>
      <c r="C66" s="57" t="s">
        <v>264</v>
      </c>
      <c r="D66" s="57" t="s">
        <v>181</v>
      </c>
      <c r="E66" s="46">
        <v>1</v>
      </c>
      <c r="F66" s="47" t="s">
        <v>322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265</v>
      </c>
      <c r="B67" s="42" t="s">
        <v>72</v>
      </c>
      <c r="C67" s="57" t="s">
        <v>266</v>
      </c>
      <c r="D67" s="57" t="s">
        <v>181</v>
      </c>
      <c r="E67" s="46">
        <v>1</v>
      </c>
      <c r="F67" s="47" t="s">
        <v>323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267</v>
      </c>
      <c r="B68" s="42" t="s">
        <v>72</v>
      </c>
      <c r="C68" s="57" t="s">
        <v>268</v>
      </c>
      <c r="D68" s="57" t="s">
        <v>181</v>
      </c>
      <c r="E68" s="46">
        <v>1</v>
      </c>
      <c r="F68" s="47" t="s">
        <v>324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269</v>
      </c>
      <c r="B69" s="42" t="s">
        <v>72</v>
      </c>
      <c r="C69" s="57" t="s">
        <v>270</v>
      </c>
      <c r="D69" s="57" t="s">
        <v>181</v>
      </c>
      <c r="E69" s="46">
        <v>1</v>
      </c>
      <c r="F69" s="47" t="s">
        <v>325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271</v>
      </c>
      <c r="B70" s="42" t="s">
        <v>72</v>
      </c>
      <c r="C70" s="57" t="s">
        <v>272</v>
      </c>
      <c r="D70" s="57" t="s">
        <v>181</v>
      </c>
      <c r="E70" s="46">
        <v>1</v>
      </c>
      <c r="F70" s="47" t="s">
        <v>326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273</v>
      </c>
      <c r="B71" s="42" t="s">
        <v>72</v>
      </c>
      <c r="C71" s="57" t="s">
        <v>274</v>
      </c>
      <c r="D71" s="57" t="s">
        <v>181</v>
      </c>
      <c r="E71" s="46">
        <v>1</v>
      </c>
      <c r="F71" s="47" t="s">
        <v>327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275</v>
      </c>
      <c r="B72" s="42" t="s">
        <v>72</v>
      </c>
      <c r="C72" s="57" t="s">
        <v>260</v>
      </c>
      <c r="D72" s="57" t="s">
        <v>181</v>
      </c>
      <c r="E72" s="46">
        <v>1</v>
      </c>
      <c r="F72" s="47" t="s">
        <v>328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276</v>
      </c>
      <c r="B73" s="42" t="s">
        <v>72</v>
      </c>
      <c r="C73" s="57" t="s">
        <v>277</v>
      </c>
      <c r="D73" s="57" t="s">
        <v>181</v>
      </c>
      <c r="E73" s="46">
        <v>1</v>
      </c>
      <c r="F73" s="47" t="s">
        <v>329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278</v>
      </c>
      <c r="B74" s="42" t="s">
        <v>72</v>
      </c>
      <c r="C74" s="57" t="s">
        <v>279</v>
      </c>
      <c r="D74" s="57" t="s">
        <v>181</v>
      </c>
      <c r="E74" s="46">
        <v>1</v>
      </c>
      <c r="F74" s="47" t="s">
        <v>330</v>
      </c>
      <c r="G74" s="44">
        <v>0</v>
      </c>
      <c r="H74" s="44">
        <v>3083.01</v>
      </c>
      <c r="I74" s="45">
        <f t="shared" si="3"/>
        <v>3083.01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280</v>
      </c>
      <c r="B75" s="42" t="s">
        <v>66</v>
      </c>
      <c r="C75" s="57" t="s">
        <v>281</v>
      </c>
      <c r="D75" s="57" t="s">
        <v>181</v>
      </c>
      <c r="E75" s="46">
        <v>1</v>
      </c>
      <c r="F75" s="47" t="s">
        <v>331</v>
      </c>
      <c r="G75" s="44">
        <v>0</v>
      </c>
      <c r="H75" s="44">
        <v>5703.56</v>
      </c>
      <c r="I75" s="45">
        <f t="shared" si="3"/>
        <v>5703.56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282</v>
      </c>
      <c r="B76" s="42" t="s">
        <v>72</v>
      </c>
      <c r="C76" s="57" t="s">
        <v>283</v>
      </c>
      <c r="D76" s="57" t="s">
        <v>181</v>
      </c>
      <c r="E76" s="46">
        <v>1</v>
      </c>
      <c r="F76" s="47" t="s">
        <v>332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284</v>
      </c>
      <c r="B77" s="42" t="s">
        <v>72</v>
      </c>
      <c r="C77" s="57" t="s">
        <v>285</v>
      </c>
      <c r="D77" s="57" t="s">
        <v>181</v>
      </c>
      <c r="E77" s="46">
        <v>1</v>
      </c>
      <c r="F77" s="47" t="s">
        <v>333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286</v>
      </c>
      <c r="B78" s="42" t="s">
        <v>72</v>
      </c>
      <c r="C78" s="57" t="s">
        <v>287</v>
      </c>
      <c r="D78" s="57" t="s">
        <v>181</v>
      </c>
      <c r="E78" s="46">
        <v>1</v>
      </c>
      <c r="F78" s="47" t="s">
        <v>334</v>
      </c>
      <c r="G78" s="44">
        <v>0</v>
      </c>
      <c r="H78" s="44">
        <v>3083.01</v>
      </c>
      <c r="I78" s="45">
        <f t="shared" si="3"/>
        <v>3083.01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288</v>
      </c>
      <c r="B79" s="42" t="s">
        <v>70</v>
      </c>
      <c r="C79" s="57" t="s">
        <v>289</v>
      </c>
      <c r="D79" s="57" t="s">
        <v>181</v>
      </c>
      <c r="E79" s="46">
        <v>1</v>
      </c>
      <c r="F79" s="47" t="s">
        <v>335</v>
      </c>
      <c r="G79" s="44">
        <v>0</v>
      </c>
      <c r="H79" s="44">
        <v>4316.21</v>
      </c>
      <c r="I79" s="45">
        <f t="shared" si="3"/>
        <v>4316.21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290</v>
      </c>
      <c r="B80" s="42" t="s">
        <v>66</v>
      </c>
      <c r="C80" s="57" t="s">
        <v>291</v>
      </c>
      <c r="D80" s="57" t="s">
        <v>181</v>
      </c>
      <c r="E80" s="46">
        <v>1</v>
      </c>
      <c r="F80" s="47" t="s">
        <v>336</v>
      </c>
      <c r="G80" s="44">
        <v>0</v>
      </c>
      <c r="H80" s="44">
        <v>5703.56</v>
      </c>
      <c r="I80" s="45">
        <f t="shared" si="3"/>
        <v>5703.56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292</v>
      </c>
      <c r="B81" s="42" t="s">
        <v>72</v>
      </c>
      <c r="C81" s="57" t="s">
        <v>293</v>
      </c>
      <c r="D81" s="57" t="s">
        <v>199</v>
      </c>
      <c r="E81" s="46">
        <v>1</v>
      </c>
      <c r="F81" s="47" t="s">
        <v>337</v>
      </c>
      <c r="G81" s="44">
        <v>1509.2</v>
      </c>
      <c r="H81" s="44">
        <v>3083.01</v>
      </c>
      <c r="I81" s="45">
        <f t="shared" si="3"/>
        <v>4592.21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294</v>
      </c>
      <c r="B82" s="42" t="s">
        <v>72</v>
      </c>
      <c r="C82" s="57" t="s">
        <v>295</v>
      </c>
      <c r="D82" s="73" t="s">
        <v>199</v>
      </c>
      <c r="E82" s="46">
        <v>1</v>
      </c>
      <c r="F82" s="47" t="s">
        <v>412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296</v>
      </c>
      <c r="B83" s="42" t="s">
        <v>72</v>
      </c>
      <c r="C83" s="57" t="s">
        <v>297</v>
      </c>
      <c r="D83" s="57" t="s">
        <v>199</v>
      </c>
      <c r="E83" s="46">
        <v>1</v>
      </c>
      <c r="F83" s="47" t="s">
        <v>338</v>
      </c>
      <c r="G83" s="44">
        <v>1509.2</v>
      </c>
      <c r="H83" s="44">
        <v>3083.01</v>
      </c>
      <c r="I83" s="45">
        <f t="shared" si="3"/>
        <v>4592.21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x14ac:dyDescent="0.2">
      <c r="A84" s="47" t="s">
        <v>298</v>
      </c>
      <c r="B84" s="42" t="s">
        <v>68</v>
      </c>
      <c r="C84" s="57" t="s">
        <v>299</v>
      </c>
      <c r="D84" s="57" t="s">
        <v>181</v>
      </c>
      <c r="E84" s="46">
        <v>1</v>
      </c>
      <c r="F84" s="47" t="s">
        <v>339</v>
      </c>
      <c r="G84" s="44">
        <v>0</v>
      </c>
      <c r="H84" s="44">
        <v>5241.1099999999997</v>
      </c>
      <c r="I84" s="45">
        <f t="shared" si="3"/>
        <v>5241.1099999999997</v>
      </c>
      <c r="J84" s="37"/>
      <c r="K84" s="21"/>
      <c r="L84" s="21"/>
      <c r="M84" s="21"/>
      <c r="N84" s="21"/>
      <c r="O84" s="21"/>
      <c r="P84" s="21"/>
      <c r="Q84" s="21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45" x14ac:dyDescent="0.2">
      <c r="A85" s="63" t="s">
        <v>55</v>
      </c>
      <c r="B85" s="63" t="s">
        <v>56</v>
      </c>
      <c r="C85" s="35" t="s">
        <v>57</v>
      </c>
      <c r="D85" s="35" t="s">
        <v>58</v>
      </c>
      <c r="E85" s="35" t="s">
        <v>59</v>
      </c>
      <c r="F85" s="48"/>
      <c r="G85" s="35" t="s">
        <v>60</v>
      </c>
      <c r="H85" s="35" t="s">
        <v>61</v>
      </c>
      <c r="I85" s="35" t="s">
        <v>62</v>
      </c>
      <c r="J85" s="37"/>
      <c r="K85" s="7"/>
      <c r="L85" s="7"/>
      <c r="M85" s="7"/>
      <c r="N85" s="7"/>
      <c r="O85" s="7"/>
      <c r="P85" s="7"/>
      <c r="Q85" s="7"/>
      <c r="R85" s="4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x14ac:dyDescent="0.2">
      <c r="A86" s="58" t="s">
        <v>63</v>
      </c>
      <c r="B86" s="59" t="s">
        <v>64</v>
      </c>
      <c r="C86" s="28">
        <f>SUMIFS($E$43:$E$84,$B$43:$B$84,"FDA",$D$43:$D$84,"&lt;&gt;VAGO")</f>
        <v>0</v>
      </c>
      <c r="D86" s="28">
        <f>SUMIFS($E$43:$E$84,$B$43:$B$84,"FDA",$D$43:$D$84,"VAGO")</f>
        <v>0</v>
      </c>
      <c r="E86" s="28">
        <f t="shared" ref="E86:E90" si="4">C86+D86</f>
        <v>0</v>
      </c>
      <c r="F86" s="29"/>
      <c r="G86" s="45">
        <f>SUMIF($B$43:$B$84,"FDA",$G$43:$G$84)</f>
        <v>0</v>
      </c>
      <c r="H86" s="45">
        <f>SUMIF($B$43:$B$84,"FDA",$H$43:$H$84)</f>
        <v>0</v>
      </c>
      <c r="I86" s="45">
        <f>SUMIF($B$43:$B$84,"FDA",$I$43:$I$84)</f>
        <v>0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65</v>
      </c>
      <c r="B87" s="59" t="s">
        <v>66</v>
      </c>
      <c r="C87" s="28">
        <f>SUMIFS($E$43:$E$84,$B$43:$B$84,"FDA-1",$D$43:$D$84,"&lt;&gt;VAGO")</f>
        <v>7</v>
      </c>
      <c r="D87" s="28">
        <f>SUMIFS($E$43:$E$84,$B$43:$B$84,"FDA-1",$D$43:$D$84,"VAGO")</f>
        <v>0</v>
      </c>
      <c r="E87" s="28">
        <f t="shared" si="4"/>
        <v>7</v>
      </c>
      <c r="F87" s="29"/>
      <c r="G87" s="45">
        <f>SUMIF($B$43:$B$84,"FDA-1",$G$43:$G$84)</f>
        <v>0</v>
      </c>
      <c r="H87" s="45">
        <f>SUMIF($B$43:$B$84,"FDA-1",$H$43:$H$84)</f>
        <v>39909.5</v>
      </c>
      <c r="I87" s="45">
        <f>SUMIF($B$43:$B$84,"FDA-1",$I$43:$I$84)</f>
        <v>39909.5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67</v>
      </c>
      <c r="B88" s="59" t="s">
        <v>68</v>
      </c>
      <c r="C88" s="28">
        <f>SUMIFS($E$43:$E$84,$B$43:$B$84,"FDA-2",$D$43:$D$84,"&lt;&gt;VAGO")</f>
        <v>6</v>
      </c>
      <c r="D88" s="28">
        <f>SUMIFS($E$43:$E$84,$B$43:$B$84,"FDA-2",$D$43:$D$84,"VAGO")</f>
        <v>0</v>
      </c>
      <c r="E88" s="28">
        <f t="shared" si="4"/>
        <v>6</v>
      </c>
      <c r="F88" s="32"/>
      <c r="G88" s="45">
        <f>SUMIF($B$43:$B$84,"FDA-2",$G$43:$G$84)</f>
        <v>35727.719999999994</v>
      </c>
      <c r="H88" s="45">
        <f>SUMIF($B$43:$B$84,"FDA-2",$H$43:$H$84)</f>
        <v>31446.66</v>
      </c>
      <c r="I88" s="45">
        <f>SUMIF($B$43:$B$84,"FDA-2",$I$43:$I$84)</f>
        <v>67174.37999999999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69</v>
      </c>
      <c r="B89" s="59" t="s">
        <v>70</v>
      </c>
      <c r="C89" s="28">
        <f>SUMIFS($E$43:$E$84,$B$43:$B$84,"FDA-3",$D$43:$D$84,"&lt;&gt;VAGO")</f>
        <v>2</v>
      </c>
      <c r="D89" s="28">
        <f>SUMIFS($E$43:$E$84,$B$43:$B$84,"FDA-3",$D$43:$D$84,"VAGO")</f>
        <v>0</v>
      </c>
      <c r="E89" s="28">
        <f t="shared" si="4"/>
        <v>2</v>
      </c>
      <c r="F89" s="34"/>
      <c r="G89" s="45">
        <f>SUMIF($B$43:$B$84,"FDA-3",$G$43:$G$84)</f>
        <v>0</v>
      </c>
      <c r="H89" s="45">
        <f>SUMIF($B$43:$B$84,"FDA-3",$H$43:$H$84)</f>
        <v>8632.42</v>
      </c>
      <c r="I89" s="45">
        <f>SUMIF($B$43:$B$84,"FDA-3",$I$43:$I$84)</f>
        <v>8632.42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x14ac:dyDescent="0.2">
      <c r="A90" s="58" t="s">
        <v>71</v>
      </c>
      <c r="B90" s="59" t="s">
        <v>72</v>
      </c>
      <c r="C90" s="28">
        <f>SUMIFS($E$43:$E$84,$B$43:$B$84,"FDA-4",$D$43:$D$84,"&lt;&gt;VAGO")</f>
        <v>27</v>
      </c>
      <c r="D90" s="28">
        <f>SUMIFS($E$43:$E$84,$B$43:$B$84,"FDA-4",$D$43:$D$84,"VAGO")</f>
        <v>0</v>
      </c>
      <c r="E90" s="28">
        <f t="shared" si="4"/>
        <v>27</v>
      </c>
      <c r="F90" s="32"/>
      <c r="G90" s="45">
        <f>SUMIF($B$43:$B$84,"FDA-4",$G$43:$G$84)</f>
        <v>8377.26</v>
      </c>
      <c r="H90" s="45">
        <f>SUMIF($B$43:$B$84,"FDA-4",$H$43:$H$84)</f>
        <v>83241.27</v>
      </c>
      <c r="I90" s="45">
        <f>SUMIF($B$43:$B$84,"FDA-4",$I$43:$I$84)</f>
        <v>91618.530000000028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30" x14ac:dyDescent="0.2">
      <c r="A91" s="63" t="s">
        <v>73</v>
      </c>
      <c r="B91" s="48"/>
      <c r="C91" s="35">
        <f t="shared" ref="C91:E91" si="5">SUM(C87:C90)</f>
        <v>42</v>
      </c>
      <c r="D91" s="35">
        <f t="shared" si="5"/>
        <v>0</v>
      </c>
      <c r="E91" s="35">
        <f t="shared" si="5"/>
        <v>42</v>
      </c>
      <c r="F91" s="48"/>
      <c r="G91" s="51">
        <f t="shared" ref="G91:I91" si="6">SUM(G86:G90)</f>
        <v>44104.979999999996</v>
      </c>
      <c r="H91" s="51">
        <f t="shared" si="6"/>
        <v>163229.85</v>
      </c>
      <c r="I91" s="51">
        <f t="shared" si="6"/>
        <v>207334.83000000002</v>
      </c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45" customHeight="1" x14ac:dyDescent="0.2">
      <c r="A92" s="38"/>
      <c r="B92" s="38"/>
      <c r="C92" s="38"/>
      <c r="D92" s="38"/>
      <c r="E92" s="38"/>
      <c r="F92" s="38"/>
      <c r="G92" s="38"/>
      <c r="H92" s="38"/>
      <c r="I92" s="7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x14ac:dyDescent="0.2">
      <c r="A93" s="99" t="s">
        <v>74</v>
      </c>
      <c r="B93" s="93"/>
      <c r="C93" s="93"/>
      <c r="D93" s="93"/>
      <c r="E93" s="93"/>
      <c r="F93" s="93"/>
      <c r="G93" s="93"/>
      <c r="H93" s="93"/>
      <c r="I93" s="94"/>
      <c r="J93" s="21"/>
      <c r="K93" s="7"/>
      <c r="L93" s="21"/>
      <c r="M93" s="21"/>
      <c r="N93" s="21"/>
      <c r="O93" s="21"/>
      <c r="P93" s="21"/>
      <c r="Q93" s="2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30" x14ac:dyDescent="0.2">
      <c r="A94" s="52" t="s">
        <v>75</v>
      </c>
      <c r="B94" s="10" t="s">
        <v>76</v>
      </c>
      <c r="C94" s="10" t="s">
        <v>77</v>
      </c>
      <c r="D94" s="10" t="s">
        <v>78</v>
      </c>
      <c r="E94" s="10" t="s">
        <v>79</v>
      </c>
      <c r="F94" s="10" t="s">
        <v>80</v>
      </c>
      <c r="G94" s="10" t="s">
        <v>81</v>
      </c>
      <c r="H94" s="10" t="s">
        <v>82</v>
      </c>
      <c r="I94" s="10" t="s">
        <v>83</v>
      </c>
      <c r="J94" s="7"/>
      <c r="K94" s="7"/>
      <c r="L94" s="7"/>
      <c r="M94" s="7"/>
      <c r="N94" s="7"/>
      <c r="O94" s="7"/>
      <c r="P94" s="7"/>
      <c r="Q94" s="7"/>
      <c r="R94" s="40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">
      <c r="A95" s="56" t="s">
        <v>340</v>
      </c>
      <c r="B95" s="55" t="s">
        <v>93</v>
      </c>
      <c r="C95" s="55" t="s">
        <v>178</v>
      </c>
      <c r="D95" s="57" t="s">
        <v>181</v>
      </c>
      <c r="E95" s="46">
        <v>1</v>
      </c>
      <c r="F95" s="56" t="s">
        <v>374</v>
      </c>
      <c r="G95" s="44">
        <v>0</v>
      </c>
      <c r="H95" s="44">
        <v>1392.8</v>
      </c>
      <c r="I95" s="45">
        <f t="shared" ref="I95:I198" si="7">SUM(G95:H95)</f>
        <v>1392.8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341</v>
      </c>
      <c r="B96" s="55" t="s">
        <v>342</v>
      </c>
      <c r="C96" s="57" t="s">
        <v>178</v>
      </c>
      <c r="D96" s="57" t="s">
        <v>199</v>
      </c>
      <c r="E96" s="46">
        <v>1</v>
      </c>
      <c r="F96" s="47" t="s">
        <v>375</v>
      </c>
      <c r="G96" s="44">
        <v>831.13</v>
      </c>
      <c r="H96" s="44">
        <v>849.76</v>
      </c>
      <c r="I96" s="45">
        <f t="shared" si="7"/>
        <v>1680.8899999999999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343</v>
      </c>
      <c r="B97" s="55" t="s">
        <v>101</v>
      </c>
      <c r="C97" s="57" t="s">
        <v>178</v>
      </c>
      <c r="D97" s="57" t="s">
        <v>199</v>
      </c>
      <c r="E97" s="46">
        <v>1</v>
      </c>
      <c r="F97" s="43" t="s">
        <v>376</v>
      </c>
      <c r="G97" s="44">
        <v>831.26</v>
      </c>
      <c r="H97" s="44">
        <v>465.35</v>
      </c>
      <c r="I97" s="45">
        <f t="shared" si="7"/>
        <v>1296.6100000000001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340</v>
      </c>
      <c r="B98" s="55" t="s">
        <v>93</v>
      </c>
      <c r="C98" s="57" t="s">
        <v>223</v>
      </c>
      <c r="D98" s="57" t="s">
        <v>199</v>
      </c>
      <c r="E98" s="46">
        <v>1</v>
      </c>
      <c r="F98" s="43" t="s">
        <v>377</v>
      </c>
      <c r="G98" s="44">
        <v>844.27</v>
      </c>
      <c r="H98" s="44">
        <v>1392.8</v>
      </c>
      <c r="I98" s="45">
        <f t="shared" si="7"/>
        <v>2237.0699999999997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344</v>
      </c>
      <c r="B99" s="55" t="s">
        <v>345</v>
      </c>
      <c r="C99" s="57" t="s">
        <v>223</v>
      </c>
      <c r="D99" s="57" t="s">
        <v>199</v>
      </c>
      <c r="E99" s="46">
        <v>1</v>
      </c>
      <c r="F99" s="43" t="s">
        <v>378</v>
      </c>
      <c r="G99" s="44">
        <v>831.26</v>
      </c>
      <c r="H99" s="44">
        <v>505.81</v>
      </c>
      <c r="I99" s="45">
        <f t="shared" si="7"/>
        <v>1337.07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379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340</v>
      </c>
      <c r="B101" s="55" t="s">
        <v>93</v>
      </c>
      <c r="C101" s="57" t="s">
        <v>223</v>
      </c>
      <c r="D101" s="57" t="s">
        <v>181</v>
      </c>
      <c r="E101" s="46">
        <v>1</v>
      </c>
      <c r="F101" s="43" t="s">
        <v>380</v>
      </c>
      <c r="G101" s="44">
        <v>0</v>
      </c>
      <c r="H101" s="44">
        <v>1392.8</v>
      </c>
      <c r="I101" s="45">
        <f t="shared" si="7"/>
        <v>1392.8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381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347</v>
      </c>
      <c r="D103" s="57" t="s">
        <v>181</v>
      </c>
      <c r="E103" s="46">
        <v>1</v>
      </c>
      <c r="F103" s="43" t="s">
        <v>382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346</v>
      </c>
      <c r="B104" s="55" t="s">
        <v>97</v>
      </c>
      <c r="C104" s="57" t="s">
        <v>348</v>
      </c>
      <c r="D104" s="57" t="s">
        <v>181</v>
      </c>
      <c r="E104" s="46">
        <v>1</v>
      </c>
      <c r="F104" s="43" t="s">
        <v>383</v>
      </c>
      <c r="G104" s="44">
        <v>0</v>
      </c>
      <c r="H104" s="44">
        <v>566.5</v>
      </c>
      <c r="I104" s="45">
        <f t="shared" si="7"/>
        <v>566.5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347</v>
      </c>
      <c r="D105" s="57" t="s">
        <v>181</v>
      </c>
      <c r="E105" s="46">
        <v>1</v>
      </c>
      <c r="F105" s="43" t="s">
        <v>384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349</v>
      </c>
      <c r="D106" s="57" t="s">
        <v>181</v>
      </c>
      <c r="E106" s="46">
        <v>1</v>
      </c>
      <c r="F106" s="43" t="s">
        <v>385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340</v>
      </c>
      <c r="B107" s="55" t="s">
        <v>93</v>
      </c>
      <c r="C107" s="57" t="s">
        <v>231</v>
      </c>
      <c r="D107" s="57" t="s">
        <v>181</v>
      </c>
      <c r="E107" s="46">
        <v>1</v>
      </c>
      <c r="F107" s="43" t="s">
        <v>386</v>
      </c>
      <c r="G107" s="44">
        <v>0</v>
      </c>
      <c r="H107" s="44">
        <v>1392.8</v>
      </c>
      <c r="I107" s="45">
        <f t="shared" si="7"/>
        <v>1392.8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341</v>
      </c>
      <c r="B108" s="55" t="s">
        <v>342</v>
      </c>
      <c r="C108" s="57" t="s">
        <v>350</v>
      </c>
      <c r="D108" s="57" t="s">
        <v>181</v>
      </c>
      <c r="E108" s="46">
        <v>1</v>
      </c>
      <c r="F108" s="43" t="s">
        <v>387</v>
      </c>
      <c r="G108" s="44">
        <v>0</v>
      </c>
      <c r="H108" s="44">
        <v>849.76</v>
      </c>
      <c r="I108" s="45">
        <f t="shared" si="7"/>
        <v>849.76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340</v>
      </c>
      <c r="B109" s="55" t="s">
        <v>93</v>
      </c>
      <c r="C109" s="57" t="s">
        <v>351</v>
      </c>
      <c r="D109" s="57" t="s">
        <v>181</v>
      </c>
      <c r="E109" s="46">
        <v>1</v>
      </c>
      <c r="F109" s="43" t="s">
        <v>388</v>
      </c>
      <c r="G109" s="44">
        <v>0</v>
      </c>
      <c r="H109" s="44">
        <v>1392.8</v>
      </c>
      <c r="I109" s="45">
        <f t="shared" si="7"/>
        <v>1392.8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346</v>
      </c>
      <c r="B110" s="55" t="s">
        <v>97</v>
      </c>
      <c r="C110" s="57" t="s">
        <v>352</v>
      </c>
      <c r="D110" s="57" t="s">
        <v>199</v>
      </c>
      <c r="E110" s="46">
        <v>1</v>
      </c>
      <c r="F110" s="43" t="s">
        <v>389</v>
      </c>
      <c r="G110" s="44">
        <v>852.4</v>
      </c>
      <c r="H110" s="44">
        <v>566.5</v>
      </c>
      <c r="I110" s="45">
        <f t="shared" si="7"/>
        <v>1418.9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340</v>
      </c>
      <c r="B111" s="55" t="s">
        <v>93</v>
      </c>
      <c r="C111" s="57" t="s">
        <v>353</v>
      </c>
      <c r="D111" s="57" t="s">
        <v>199</v>
      </c>
      <c r="E111" s="46">
        <v>1</v>
      </c>
      <c r="F111" s="43" t="s">
        <v>390</v>
      </c>
      <c r="G111" s="44">
        <v>830.46</v>
      </c>
      <c r="H111" s="44">
        <v>1392.8</v>
      </c>
      <c r="I111" s="45">
        <f t="shared" si="7"/>
        <v>2223.2600000000002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391</v>
      </c>
      <c r="G112" s="44">
        <v>844.27</v>
      </c>
      <c r="H112" s="44">
        <v>566.5</v>
      </c>
      <c r="I112" s="45">
        <f t="shared" si="7"/>
        <v>1410.77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353</v>
      </c>
      <c r="D113" s="57" t="s">
        <v>199</v>
      </c>
      <c r="E113" s="46">
        <v>1</v>
      </c>
      <c r="F113" s="43" t="s">
        <v>392</v>
      </c>
      <c r="G113" s="44">
        <v>844.13</v>
      </c>
      <c r="H113" s="44">
        <v>566.5</v>
      </c>
      <c r="I113" s="45">
        <f t="shared" si="7"/>
        <v>1410.63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354</v>
      </c>
      <c r="D114" s="57" t="s">
        <v>181</v>
      </c>
      <c r="E114" s="46">
        <v>1</v>
      </c>
      <c r="F114" s="43" t="s">
        <v>393</v>
      </c>
      <c r="G114" s="44">
        <v>0</v>
      </c>
      <c r="H114" s="44">
        <v>566.5</v>
      </c>
      <c r="I114" s="45">
        <f t="shared" si="7"/>
        <v>566.5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477</v>
      </c>
      <c r="G115" s="44">
        <v>845.01</v>
      </c>
      <c r="H115" s="44">
        <v>566.5</v>
      </c>
      <c r="I115" s="45">
        <f t="shared" si="7"/>
        <v>1411.51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394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346</v>
      </c>
      <c r="B117" s="55" t="s">
        <v>97</v>
      </c>
      <c r="C117" s="57" t="s">
        <v>355</v>
      </c>
      <c r="D117" s="57" t="s">
        <v>199</v>
      </c>
      <c r="E117" s="46">
        <v>1</v>
      </c>
      <c r="F117" s="43" t="s">
        <v>395</v>
      </c>
      <c r="G117" s="44">
        <v>837.96</v>
      </c>
      <c r="H117" s="44">
        <v>566.5</v>
      </c>
      <c r="I117" s="45">
        <f t="shared" si="7"/>
        <v>1404.46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340</v>
      </c>
      <c r="B118" s="55" t="s">
        <v>93</v>
      </c>
      <c r="C118" s="57" t="s">
        <v>356</v>
      </c>
      <c r="D118" s="73" t="s">
        <v>199</v>
      </c>
      <c r="E118" s="46">
        <v>1</v>
      </c>
      <c r="F118" s="105" t="s">
        <v>523</v>
      </c>
      <c r="G118" s="86">
        <v>1509.2</v>
      </c>
      <c r="H118" s="44">
        <v>1392.8</v>
      </c>
      <c r="I118" s="45">
        <f t="shared" si="7"/>
        <v>2902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346</v>
      </c>
      <c r="B119" s="55" t="s">
        <v>97</v>
      </c>
      <c r="C119" s="57" t="s">
        <v>356</v>
      </c>
      <c r="D119" s="57" t="s">
        <v>199</v>
      </c>
      <c r="E119" s="46">
        <v>1</v>
      </c>
      <c r="F119" s="43" t="s">
        <v>397</v>
      </c>
      <c r="G119" s="44">
        <v>844.87</v>
      </c>
      <c r="H119" s="44">
        <v>566.5</v>
      </c>
      <c r="I119" s="45">
        <f t="shared" si="7"/>
        <v>1411.37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344</v>
      </c>
      <c r="B120" s="55" t="s">
        <v>345</v>
      </c>
      <c r="C120" s="57" t="s">
        <v>356</v>
      </c>
      <c r="D120" s="57" t="s">
        <v>199</v>
      </c>
      <c r="E120" s="46">
        <v>1</v>
      </c>
      <c r="F120" s="43" t="s">
        <v>398</v>
      </c>
      <c r="G120" s="44">
        <v>852.4</v>
      </c>
      <c r="H120" s="44">
        <v>505.81</v>
      </c>
      <c r="I120" s="45">
        <f t="shared" si="7"/>
        <v>1358.21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340</v>
      </c>
      <c r="B121" s="55" t="s">
        <v>93</v>
      </c>
      <c r="C121" s="57" t="s">
        <v>357</v>
      </c>
      <c r="D121" s="57" t="s">
        <v>181</v>
      </c>
      <c r="E121" s="46">
        <v>1</v>
      </c>
      <c r="F121" s="43" t="s">
        <v>399</v>
      </c>
      <c r="G121" s="44">
        <v>0</v>
      </c>
      <c r="H121" s="44">
        <v>1392.8</v>
      </c>
      <c r="I121" s="45">
        <f t="shared" si="7"/>
        <v>1392.8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400</v>
      </c>
      <c r="G122" s="44">
        <v>16704.73</v>
      </c>
      <c r="H122" s="44">
        <v>566.5</v>
      </c>
      <c r="I122" s="45">
        <f t="shared" si="7"/>
        <v>17271.23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357</v>
      </c>
      <c r="D123" s="57" t="s">
        <v>199</v>
      </c>
      <c r="E123" s="46">
        <v>1</v>
      </c>
      <c r="F123" s="43" t="s">
        <v>401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199</v>
      </c>
      <c r="E124" s="46">
        <v>1</v>
      </c>
      <c r="F124" s="43" t="s">
        <v>402</v>
      </c>
      <c r="G124" s="44">
        <v>837.96</v>
      </c>
      <c r="H124" s="44">
        <v>566.5</v>
      </c>
      <c r="I124" s="45">
        <f t="shared" si="7"/>
        <v>1404.46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346</v>
      </c>
      <c r="B125" s="55" t="s">
        <v>97</v>
      </c>
      <c r="C125" s="57" t="s">
        <v>358</v>
      </c>
      <c r="D125" s="57" t="s">
        <v>181</v>
      </c>
      <c r="E125" s="46">
        <v>1</v>
      </c>
      <c r="F125" s="43" t="s">
        <v>403</v>
      </c>
      <c r="G125" s="44">
        <v>0</v>
      </c>
      <c r="H125" s="44">
        <v>566.5</v>
      </c>
      <c r="I125" s="45">
        <f t="shared" si="7"/>
        <v>566.5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404</v>
      </c>
      <c r="G126" s="44">
        <v>831.26</v>
      </c>
      <c r="H126" s="44">
        <v>1392.8</v>
      </c>
      <c r="I126" s="45">
        <f t="shared" si="7"/>
        <v>2224.06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359</v>
      </c>
      <c r="D127" s="57" t="s">
        <v>199</v>
      </c>
      <c r="E127" s="46">
        <v>1</v>
      </c>
      <c r="F127" s="43" t="s">
        <v>405</v>
      </c>
      <c r="G127" s="44">
        <v>1006.04</v>
      </c>
      <c r="H127" s="44">
        <v>1392.8</v>
      </c>
      <c r="I127" s="45">
        <f t="shared" si="7"/>
        <v>2398.84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340</v>
      </c>
      <c r="B128" s="55" t="s">
        <v>93</v>
      </c>
      <c r="C128" s="57" t="s">
        <v>360</v>
      </c>
      <c r="D128" s="57" t="s">
        <v>199</v>
      </c>
      <c r="E128" s="46">
        <v>1</v>
      </c>
      <c r="F128" s="43" t="s">
        <v>406</v>
      </c>
      <c r="G128" s="44">
        <v>837.96</v>
      </c>
      <c r="H128" s="44">
        <v>1392.8</v>
      </c>
      <c r="I128" s="45">
        <f t="shared" si="7"/>
        <v>2230.7600000000002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407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346</v>
      </c>
      <c r="B130" s="55" t="s">
        <v>97</v>
      </c>
      <c r="C130" s="57" t="s">
        <v>361</v>
      </c>
      <c r="D130" s="57" t="s">
        <v>181</v>
      </c>
      <c r="E130" s="46">
        <v>1</v>
      </c>
      <c r="F130" s="43" t="s">
        <v>408</v>
      </c>
      <c r="G130" s="44">
        <v>0</v>
      </c>
      <c r="H130" s="44">
        <v>566.5</v>
      </c>
      <c r="I130" s="45">
        <f t="shared" si="7"/>
        <v>566.5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362</v>
      </c>
      <c r="D131" s="57" t="s">
        <v>181</v>
      </c>
      <c r="E131" s="46">
        <v>1</v>
      </c>
      <c r="F131" s="43" t="s">
        <v>409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410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340</v>
      </c>
      <c r="B133" s="55" t="s">
        <v>93</v>
      </c>
      <c r="C133" s="57" t="s">
        <v>248</v>
      </c>
      <c r="D133" s="73" t="s">
        <v>199</v>
      </c>
      <c r="E133" s="46">
        <v>1</v>
      </c>
      <c r="F133" s="43" t="s">
        <v>509</v>
      </c>
      <c r="G133" s="44">
        <v>1509.2</v>
      </c>
      <c r="H133" s="44">
        <v>1392.8</v>
      </c>
      <c r="I133" s="45">
        <f t="shared" si="7"/>
        <v>2902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346</v>
      </c>
      <c r="B134" s="55" t="s">
        <v>97</v>
      </c>
      <c r="C134" s="57" t="s">
        <v>248</v>
      </c>
      <c r="D134" s="57" t="s">
        <v>199</v>
      </c>
      <c r="E134" s="46">
        <v>1</v>
      </c>
      <c r="F134" s="43" t="s">
        <v>490</v>
      </c>
      <c r="G134" s="44">
        <v>1509.2</v>
      </c>
      <c r="H134" s="44">
        <v>1392.8</v>
      </c>
      <c r="I134" s="45">
        <f t="shared" si="7"/>
        <v>2902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248</v>
      </c>
      <c r="D135" s="57" t="s">
        <v>199</v>
      </c>
      <c r="E135" s="46">
        <v>1</v>
      </c>
      <c r="F135" s="43" t="s">
        <v>413</v>
      </c>
      <c r="G135" s="44">
        <v>837.83</v>
      </c>
      <c r="H135" s="44">
        <v>1392.8</v>
      </c>
      <c r="I135" s="45">
        <f t="shared" si="7"/>
        <v>2230.63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199</v>
      </c>
      <c r="E136" s="46">
        <v>1</v>
      </c>
      <c r="F136" s="43" t="s">
        <v>414</v>
      </c>
      <c r="G136" s="44">
        <v>809.06</v>
      </c>
      <c r="H136" s="44">
        <v>1392.8</v>
      </c>
      <c r="I136" s="45">
        <f t="shared" si="7"/>
        <v>2201.8599999999997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78" t="s">
        <v>505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181</v>
      </c>
      <c r="E138" s="46">
        <v>1</v>
      </c>
      <c r="F138" s="79" t="s">
        <v>495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417</v>
      </c>
      <c r="G139" s="44">
        <v>1509.2</v>
      </c>
      <c r="H139" s="44">
        <v>1392.8</v>
      </c>
      <c r="I139" s="45">
        <f t="shared" si="7"/>
        <v>2902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340</v>
      </c>
      <c r="B140" s="55" t="s">
        <v>93</v>
      </c>
      <c r="C140" s="57" t="s">
        <v>194</v>
      </c>
      <c r="D140" s="57" t="s">
        <v>199</v>
      </c>
      <c r="E140" s="46">
        <v>1</v>
      </c>
      <c r="F140" s="43" t="s">
        <v>418</v>
      </c>
      <c r="G140" s="44">
        <v>809.06</v>
      </c>
      <c r="H140" s="44">
        <v>1392.8</v>
      </c>
      <c r="I140" s="45">
        <f t="shared" si="7"/>
        <v>2201.8599999999997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419</v>
      </c>
      <c r="G141" s="44">
        <v>852.4</v>
      </c>
      <c r="H141" s="44">
        <v>849.76</v>
      </c>
      <c r="I141" s="45">
        <f t="shared" si="7"/>
        <v>1702.1599999999999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478</v>
      </c>
      <c r="G142" s="44">
        <v>1509.2</v>
      </c>
      <c r="H142" s="44">
        <v>849.76</v>
      </c>
      <c r="I142" s="45">
        <f t="shared" si="7"/>
        <v>2358.96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421</v>
      </c>
      <c r="G143" s="44">
        <v>809.06</v>
      </c>
      <c r="H143" s="44">
        <v>849.76</v>
      </c>
      <c r="I143" s="45">
        <f t="shared" si="7"/>
        <v>1658.82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341</v>
      </c>
      <c r="B144" s="55" t="s">
        <v>342</v>
      </c>
      <c r="C144" s="57" t="s">
        <v>194</v>
      </c>
      <c r="D144" s="57" t="s">
        <v>199</v>
      </c>
      <c r="E144" s="46">
        <v>1</v>
      </c>
      <c r="F144" s="43" t="s">
        <v>422</v>
      </c>
      <c r="G144" s="44">
        <v>837.26</v>
      </c>
      <c r="H144" s="44">
        <v>849.76</v>
      </c>
      <c r="I144" s="45">
        <f t="shared" si="7"/>
        <v>1687.02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423</v>
      </c>
      <c r="G145" s="44">
        <v>824.75</v>
      </c>
      <c r="H145" s="44">
        <v>566.5</v>
      </c>
      <c r="I145" s="45">
        <f t="shared" si="7"/>
        <v>1391.25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346</v>
      </c>
      <c r="B146" s="55" t="s">
        <v>97</v>
      </c>
      <c r="C146" s="57" t="s">
        <v>194</v>
      </c>
      <c r="D146" s="57" t="s">
        <v>199</v>
      </c>
      <c r="E146" s="46">
        <v>1</v>
      </c>
      <c r="F146" s="43" t="s">
        <v>424</v>
      </c>
      <c r="G146" s="44">
        <v>831.26</v>
      </c>
      <c r="H146" s="44">
        <v>566.5</v>
      </c>
      <c r="I146" s="45">
        <f t="shared" si="7"/>
        <v>1397.76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363</v>
      </c>
      <c r="B147" s="55" t="s">
        <v>342</v>
      </c>
      <c r="C147" s="57" t="s">
        <v>194</v>
      </c>
      <c r="D147" s="57" t="s">
        <v>199</v>
      </c>
      <c r="E147" s="46">
        <v>1</v>
      </c>
      <c r="F147" s="43" t="s">
        <v>425</v>
      </c>
      <c r="G147" s="44">
        <v>1509.2</v>
      </c>
      <c r="H147" s="44">
        <v>849.76</v>
      </c>
      <c r="I147" s="45">
        <f t="shared" si="7"/>
        <v>2358.96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73" t="s">
        <v>199</v>
      </c>
      <c r="E148" s="46">
        <v>1</v>
      </c>
      <c r="F148" s="43" t="s">
        <v>510</v>
      </c>
      <c r="G148" s="86">
        <v>1509.2</v>
      </c>
      <c r="H148" s="44">
        <v>1392.8</v>
      </c>
      <c r="I148" s="45">
        <f t="shared" si="7"/>
        <v>2902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254</v>
      </c>
      <c r="D149" s="57" t="s">
        <v>181</v>
      </c>
      <c r="E149" s="46">
        <v>1</v>
      </c>
      <c r="F149" s="87" t="s">
        <v>486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181</v>
      </c>
      <c r="E150" s="46">
        <v>1</v>
      </c>
      <c r="F150" s="43" t="s">
        <v>428</v>
      </c>
      <c r="G150" s="44">
        <v>0</v>
      </c>
      <c r="H150" s="44">
        <v>1392.8</v>
      </c>
      <c r="I150" s="45">
        <f t="shared" si="7"/>
        <v>1392.8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340</v>
      </c>
      <c r="B151" s="55" t="s">
        <v>93</v>
      </c>
      <c r="C151" s="57" t="s">
        <v>364</v>
      </c>
      <c r="D151" s="57" t="s">
        <v>199</v>
      </c>
      <c r="E151" s="46">
        <v>1</v>
      </c>
      <c r="F151" s="43" t="s">
        <v>429</v>
      </c>
      <c r="G151" s="44">
        <v>809.06</v>
      </c>
      <c r="H151" s="44">
        <v>1392.8</v>
      </c>
      <c r="I151" s="45">
        <f t="shared" si="7"/>
        <v>2201.8599999999997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346</v>
      </c>
      <c r="B152" s="55" t="s">
        <v>97</v>
      </c>
      <c r="C152" s="57" t="s">
        <v>364</v>
      </c>
      <c r="D152" s="57" t="s">
        <v>199</v>
      </c>
      <c r="E152" s="46">
        <v>1</v>
      </c>
      <c r="F152" s="79" t="s">
        <v>511</v>
      </c>
      <c r="G152" s="44">
        <v>809.06</v>
      </c>
      <c r="H152" s="44">
        <v>566.5</v>
      </c>
      <c r="I152" s="45">
        <f t="shared" si="7"/>
        <v>1375.56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341</v>
      </c>
      <c r="B153" s="55" t="s">
        <v>342</v>
      </c>
      <c r="C153" s="57" t="s">
        <v>364</v>
      </c>
      <c r="D153" s="57" t="s">
        <v>199</v>
      </c>
      <c r="E153" s="46">
        <v>1</v>
      </c>
      <c r="F153" s="79" t="s">
        <v>506</v>
      </c>
      <c r="G153" s="44">
        <v>809.06</v>
      </c>
      <c r="H153" s="44">
        <v>849.76</v>
      </c>
      <c r="I153" s="45">
        <f t="shared" si="7"/>
        <v>1658.82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346</v>
      </c>
      <c r="B154" s="55" t="s">
        <v>97</v>
      </c>
      <c r="C154" s="57" t="s">
        <v>260</v>
      </c>
      <c r="D154" s="57" t="s">
        <v>181</v>
      </c>
      <c r="E154" s="46">
        <v>1</v>
      </c>
      <c r="F154" s="78" t="s">
        <v>432</v>
      </c>
      <c r="G154" s="44">
        <v>0</v>
      </c>
      <c r="H154" s="44">
        <v>566.5</v>
      </c>
      <c r="I154" s="45">
        <f t="shared" si="7"/>
        <v>566.5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340</v>
      </c>
      <c r="B155" s="55" t="s">
        <v>93</v>
      </c>
      <c r="C155" s="57" t="s">
        <v>260</v>
      </c>
      <c r="D155" s="73" t="s">
        <v>181</v>
      </c>
      <c r="E155" s="46">
        <v>1</v>
      </c>
      <c r="F155" s="79" t="s">
        <v>524</v>
      </c>
      <c r="G155" s="44">
        <v>0</v>
      </c>
      <c r="H155" s="44">
        <v>1392.8</v>
      </c>
      <c r="I155" s="45">
        <f t="shared" si="7"/>
        <v>1392.8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434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365</v>
      </c>
      <c r="B157" s="55" t="s">
        <v>93</v>
      </c>
      <c r="C157" s="57" t="s">
        <v>260</v>
      </c>
      <c r="D157" s="57" t="s">
        <v>181</v>
      </c>
      <c r="E157" s="46">
        <v>1</v>
      </c>
      <c r="F157" s="43" t="s">
        <v>435</v>
      </c>
      <c r="G157" s="44">
        <v>0</v>
      </c>
      <c r="H157" s="44">
        <v>1392.8</v>
      </c>
      <c r="I157" s="45">
        <f t="shared" si="7"/>
        <v>1392.8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341</v>
      </c>
      <c r="B158" s="55" t="s">
        <v>342</v>
      </c>
      <c r="C158" s="57" t="s">
        <v>198</v>
      </c>
      <c r="D158" s="57" t="s">
        <v>199</v>
      </c>
      <c r="E158" s="46">
        <v>1</v>
      </c>
      <c r="F158" s="78" t="s">
        <v>507</v>
      </c>
      <c r="G158" s="44">
        <v>809.06</v>
      </c>
      <c r="H158" s="44">
        <v>849.76</v>
      </c>
      <c r="I158" s="45">
        <f t="shared" si="7"/>
        <v>1658.82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343</v>
      </c>
      <c r="B159" s="55" t="s">
        <v>101</v>
      </c>
      <c r="C159" s="57" t="s">
        <v>198</v>
      </c>
      <c r="D159" s="57" t="s">
        <v>199</v>
      </c>
      <c r="E159" s="46">
        <v>1</v>
      </c>
      <c r="F159" s="43" t="s">
        <v>518</v>
      </c>
      <c r="G159" s="44">
        <v>1509.2</v>
      </c>
      <c r="H159" s="44">
        <v>849.76</v>
      </c>
      <c r="I159" s="45">
        <f t="shared" si="7"/>
        <v>2358.96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181</v>
      </c>
      <c r="E160" s="46">
        <v>1</v>
      </c>
      <c r="F160" s="43" t="s">
        <v>438</v>
      </c>
      <c r="G160" s="44">
        <v>0</v>
      </c>
      <c r="H160" s="44">
        <v>1392.8</v>
      </c>
      <c r="I160" s="45">
        <f t="shared" si="7"/>
        <v>1392.8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340</v>
      </c>
      <c r="B161" s="55" t="s">
        <v>93</v>
      </c>
      <c r="C161" s="57" t="s">
        <v>366</v>
      </c>
      <c r="D161" s="57" t="s">
        <v>199</v>
      </c>
      <c r="E161" s="46">
        <v>1</v>
      </c>
      <c r="F161" s="43" t="s">
        <v>439</v>
      </c>
      <c r="G161" s="44">
        <v>852.4</v>
      </c>
      <c r="H161" s="44">
        <v>1392.8</v>
      </c>
      <c r="I161" s="45">
        <f t="shared" si="7"/>
        <v>2245.1999999999998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440</v>
      </c>
      <c r="G162" s="44">
        <v>831.26</v>
      </c>
      <c r="H162" s="44">
        <v>849.76</v>
      </c>
      <c r="I162" s="45">
        <f t="shared" si="7"/>
        <v>1681.02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441</v>
      </c>
      <c r="G163" s="44">
        <v>824.11</v>
      </c>
      <c r="H163" s="44">
        <v>849.76</v>
      </c>
      <c r="I163" s="45">
        <f t="shared" si="7"/>
        <v>1673.87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442</v>
      </c>
      <c r="G164" s="44">
        <v>1109.1600000000001</v>
      </c>
      <c r="H164" s="44">
        <v>849.76</v>
      </c>
      <c r="I164" s="45">
        <f t="shared" si="7"/>
        <v>1958.92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443</v>
      </c>
      <c r="G165" s="44">
        <v>811.5</v>
      </c>
      <c r="H165" s="44">
        <v>849.76</v>
      </c>
      <c r="I165" s="45">
        <f t="shared" si="7"/>
        <v>1661.26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341</v>
      </c>
      <c r="B166" s="55" t="s">
        <v>342</v>
      </c>
      <c r="C166" s="57" t="s">
        <v>366</v>
      </c>
      <c r="D166" s="57" t="s">
        <v>199</v>
      </c>
      <c r="E166" s="46">
        <v>1</v>
      </c>
      <c r="F166" s="43" t="s">
        <v>444</v>
      </c>
      <c r="G166" s="44">
        <v>831.13</v>
      </c>
      <c r="H166" s="44">
        <v>849.76</v>
      </c>
      <c r="I166" s="45">
        <f t="shared" si="7"/>
        <v>1680.8899999999999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366</v>
      </c>
      <c r="D167" s="57" t="s">
        <v>199</v>
      </c>
      <c r="E167" s="46">
        <v>1</v>
      </c>
      <c r="F167" s="43" t="s">
        <v>445</v>
      </c>
      <c r="G167" s="44">
        <v>844.87</v>
      </c>
      <c r="H167" s="44">
        <v>566.5</v>
      </c>
      <c r="I167" s="45">
        <f t="shared" si="7"/>
        <v>1411.37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346</v>
      </c>
      <c r="B168" s="55" t="s">
        <v>97</v>
      </c>
      <c r="C168" s="57" t="s">
        <v>291</v>
      </c>
      <c r="D168" s="57" t="s">
        <v>199</v>
      </c>
      <c r="E168" s="46">
        <v>1</v>
      </c>
      <c r="F168" s="43" t="s">
        <v>446</v>
      </c>
      <c r="G168" s="44">
        <v>852.4</v>
      </c>
      <c r="H168" s="44">
        <v>566.5</v>
      </c>
      <c r="I168" s="45">
        <f t="shared" si="7"/>
        <v>1418.9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94</v>
      </c>
      <c r="B169" s="55" t="s">
        <v>342</v>
      </c>
      <c r="C169" s="57" t="s">
        <v>291</v>
      </c>
      <c r="D169" s="73" t="s">
        <v>183</v>
      </c>
      <c r="E169" s="46">
        <v>1</v>
      </c>
      <c r="F169" s="79" t="s">
        <v>183</v>
      </c>
      <c r="G169" s="44">
        <v>0</v>
      </c>
      <c r="H169" s="44">
        <v>0</v>
      </c>
      <c r="I169" s="45">
        <f t="shared" si="7"/>
        <v>0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341</v>
      </c>
      <c r="B170" s="55" t="s">
        <v>342</v>
      </c>
      <c r="C170" s="57" t="s">
        <v>291</v>
      </c>
      <c r="D170" s="57" t="s">
        <v>181</v>
      </c>
      <c r="E170" s="46">
        <v>1</v>
      </c>
      <c r="F170" s="43" t="s">
        <v>448</v>
      </c>
      <c r="G170" s="44">
        <v>0</v>
      </c>
      <c r="H170" s="44">
        <v>849.76</v>
      </c>
      <c r="I170" s="45">
        <f t="shared" si="7"/>
        <v>849.76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449</v>
      </c>
      <c r="G171" s="44">
        <v>852.4</v>
      </c>
      <c r="H171" s="44">
        <v>1392.8</v>
      </c>
      <c r="I171" s="45">
        <f t="shared" si="7"/>
        <v>2245.1999999999998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450</v>
      </c>
      <c r="G172" s="44">
        <v>844.87</v>
      </c>
      <c r="H172" s="44">
        <v>1392.8</v>
      </c>
      <c r="I172" s="45">
        <f t="shared" si="7"/>
        <v>2237.67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340</v>
      </c>
      <c r="B173" s="55" t="s">
        <v>93</v>
      </c>
      <c r="C173" s="57" t="s">
        <v>291</v>
      </c>
      <c r="D173" s="57" t="s">
        <v>199</v>
      </c>
      <c r="E173" s="46">
        <v>1</v>
      </c>
      <c r="F173" s="43" t="s">
        <v>451</v>
      </c>
      <c r="G173" s="44">
        <v>852.4</v>
      </c>
      <c r="H173" s="44">
        <v>1392.8</v>
      </c>
      <c r="I173" s="45">
        <f t="shared" si="7"/>
        <v>2245.1999999999998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346</v>
      </c>
      <c r="B174" s="55" t="s">
        <v>97</v>
      </c>
      <c r="C174" s="57" t="s">
        <v>291</v>
      </c>
      <c r="D174" s="57" t="s">
        <v>199</v>
      </c>
      <c r="E174" s="46">
        <v>1</v>
      </c>
      <c r="F174" s="79" t="s">
        <v>519</v>
      </c>
      <c r="G174" s="44">
        <v>1509.2</v>
      </c>
      <c r="H174" s="44">
        <v>566.5</v>
      </c>
      <c r="I174" s="45">
        <f t="shared" si="7"/>
        <v>2075.6999999999998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344</v>
      </c>
      <c r="B175" s="55" t="s">
        <v>345</v>
      </c>
      <c r="C175" s="57" t="s">
        <v>291</v>
      </c>
      <c r="D175" s="57" t="s">
        <v>199</v>
      </c>
      <c r="E175" s="46">
        <v>1</v>
      </c>
      <c r="F175" s="43" t="s">
        <v>453</v>
      </c>
      <c r="G175" s="44">
        <v>1509.2</v>
      </c>
      <c r="H175" s="44">
        <v>505.81</v>
      </c>
      <c r="I175" s="45">
        <f t="shared" si="7"/>
        <v>2015.01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367</v>
      </c>
      <c r="B176" s="55" t="s">
        <v>103</v>
      </c>
      <c r="C176" s="57" t="s">
        <v>291</v>
      </c>
      <c r="D176" s="57" t="s">
        <v>199</v>
      </c>
      <c r="E176" s="46">
        <v>1</v>
      </c>
      <c r="F176" s="43" t="s">
        <v>454</v>
      </c>
      <c r="G176" s="44">
        <v>1509.2</v>
      </c>
      <c r="H176" s="44">
        <v>364.17</v>
      </c>
      <c r="I176" s="45">
        <f t="shared" si="7"/>
        <v>1873.3700000000001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79" t="s">
        <v>487</v>
      </c>
      <c r="G177" s="44">
        <v>809.06</v>
      </c>
      <c r="H177" s="44">
        <v>1392.8</v>
      </c>
      <c r="I177" s="45">
        <f t="shared" si="7"/>
        <v>2201.8599999999997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181</v>
      </c>
      <c r="E178" s="46">
        <v>1</v>
      </c>
      <c r="F178" s="79" t="s">
        <v>520</v>
      </c>
      <c r="G178" s="44">
        <v>1509.2</v>
      </c>
      <c r="H178" s="44">
        <v>1392.8</v>
      </c>
      <c r="I178" s="45">
        <f t="shared" si="7"/>
        <v>2902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340</v>
      </c>
      <c r="B179" s="55" t="s">
        <v>93</v>
      </c>
      <c r="C179" s="57" t="s">
        <v>203</v>
      </c>
      <c r="D179" s="57" t="s">
        <v>199</v>
      </c>
      <c r="E179" s="46">
        <v>1</v>
      </c>
      <c r="F179" s="43" t="s">
        <v>457</v>
      </c>
      <c r="G179" s="44">
        <v>1509.2</v>
      </c>
      <c r="H179" s="44">
        <v>1392.8</v>
      </c>
      <c r="I179" s="45">
        <f t="shared" si="7"/>
        <v>2902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346</v>
      </c>
      <c r="B180" s="55" t="s">
        <v>97</v>
      </c>
      <c r="C180" s="57" t="s">
        <v>295</v>
      </c>
      <c r="D180" s="57" t="s">
        <v>199</v>
      </c>
      <c r="E180" s="46">
        <v>1</v>
      </c>
      <c r="F180" s="43" t="s">
        <v>458</v>
      </c>
      <c r="G180" s="44">
        <v>844.87</v>
      </c>
      <c r="H180" s="44">
        <v>566.5</v>
      </c>
      <c r="I180" s="45">
        <f t="shared" si="7"/>
        <v>1411.37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295</v>
      </c>
      <c r="D181" s="57" t="s">
        <v>199</v>
      </c>
      <c r="E181" s="46">
        <v>1</v>
      </c>
      <c r="F181" s="43" t="s">
        <v>459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299</v>
      </c>
      <c r="D182" s="57" t="s">
        <v>199</v>
      </c>
      <c r="E182" s="46">
        <v>1</v>
      </c>
      <c r="F182" s="43" t="s">
        <v>525</v>
      </c>
      <c r="G182" s="44">
        <v>1509.2</v>
      </c>
      <c r="H182" s="44">
        <v>849.76</v>
      </c>
      <c r="I182" s="45">
        <f t="shared" si="7"/>
        <v>2358.96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ht="13.5" customHeight="1" x14ac:dyDescent="0.2">
      <c r="A183" s="47" t="s">
        <v>341</v>
      </c>
      <c r="B183" s="55" t="s">
        <v>342</v>
      </c>
      <c r="C183" s="57" t="s">
        <v>368</v>
      </c>
      <c r="D183" s="57" t="s">
        <v>199</v>
      </c>
      <c r="E183" s="46">
        <v>1</v>
      </c>
      <c r="F183" s="43" t="s">
        <v>461</v>
      </c>
      <c r="G183" s="44">
        <v>987.85</v>
      </c>
      <c r="H183" s="44">
        <v>849.76</v>
      </c>
      <c r="I183" s="45">
        <f t="shared" si="7"/>
        <v>1837.6100000000001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73" t="s">
        <v>183</v>
      </c>
      <c r="E184" s="46">
        <v>1</v>
      </c>
      <c r="F184" s="79" t="s">
        <v>183</v>
      </c>
      <c r="G184" s="44">
        <v>0</v>
      </c>
      <c r="H184" s="44">
        <v>0</v>
      </c>
      <c r="I184" s="45">
        <f t="shared" si="7"/>
        <v>0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344</v>
      </c>
      <c r="B185" s="55" t="s">
        <v>345</v>
      </c>
      <c r="C185" s="57" t="s">
        <v>368</v>
      </c>
      <c r="D185" s="57" t="s">
        <v>199</v>
      </c>
      <c r="E185" s="46">
        <v>1</v>
      </c>
      <c r="F185" s="43" t="s">
        <v>463</v>
      </c>
      <c r="G185" s="44">
        <v>987.85</v>
      </c>
      <c r="H185" s="44">
        <v>505.81</v>
      </c>
      <c r="I185" s="45">
        <f t="shared" si="7"/>
        <v>1493.66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368</v>
      </c>
      <c r="D186" s="57" t="s">
        <v>199</v>
      </c>
      <c r="E186" s="46">
        <v>1</v>
      </c>
      <c r="F186" s="43" t="s">
        <v>464</v>
      </c>
      <c r="G186" s="44">
        <v>974.09</v>
      </c>
      <c r="H186" s="44">
        <v>566.5</v>
      </c>
      <c r="I186" s="45">
        <f t="shared" si="7"/>
        <v>1540.5900000000001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346</v>
      </c>
      <c r="B187" s="55" t="s">
        <v>97</v>
      </c>
      <c r="C187" s="57" t="s">
        <v>369</v>
      </c>
      <c r="D187" s="57" t="s">
        <v>199</v>
      </c>
      <c r="E187" s="46">
        <v>1</v>
      </c>
      <c r="F187" s="43" t="s">
        <v>465</v>
      </c>
      <c r="G187" s="44">
        <v>852.4</v>
      </c>
      <c r="H187" s="44">
        <v>566.5</v>
      </c>
      <c r="I187" s="45">
        <f t="shared" si="7"/>
        <v>1418.9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341</v>
      </c>
      <c r="B188" s="55" t="s">
        <v>342</v>
      </c>
      <c r="C188" s="57" t="s">
        <v>370</v>
      </c>
      <c r="D188" s="73" t="s">
        <v>199</v>
      </c>
      <c r="E188" s="46">
        <v>1</v>
      </c>
      <c r="F188" s="79" t="s">
        <v>496</v>
      </c>
      <c r="G188" s="44">
        <v>24932.44</v>
      </c>
      <c r="H188" s="44">
        <v>849.76</v>
      </c>
      <c r="I188" s="45">
        <f t="shared" si="7"/>
        <v>25782.199999999997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370</v>
      </c>
      <c r="D189" s="57" t="s">
        <v>181</v>
      </c>
      <c r="E189" s="46">
        <v>1</v>
      </c>
      <c r="F189" s="43" t="s">
        <v>467</v>
      </c>
      <c r="G189" s="44">
        <v>0</v>
      </c>
      <c r="H189" s="44">
        <v>566.5</v>
      </c>
      <c r="I189" s="45">
        <f t="shared" si="7"/>
        <v>566.5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371</v>
      </c>
      <c r="D190" s="73" t="s">
        <v>199</v>
      </c>
      <c r="E190" s="46">
        <v>1</v>
      </c>
      <c r="F190" s="79" t="s">
        <v>516</v>
      </c>
      <c r="G190" s="44">
        <v>16704.73</v>
      </c>
      <c r="H190" s="44">
        <v>566.5</v>
      </c>
      <c r="I190" s="45">
        <f t="shared" si="7"/>
        <v>17271.23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47" t="s">
        <v>346</v>
      </c>
      <c r="B191" s="55" t="s">
        <v>97</v>
      </c>
      <c r="C191" s="57" t="s">
        <v>372</v>
      </c>
      <c r="D191" s="57" t="s">
        <v>199</v>
      </c>
      <c r="E191" s="46">
        <v>1</v>
      </c>
      <c r="F191" s="43" t="s">
        <v>469</v>
      </c>
      <c r="G191" s="44">
        <v>853.96</v>
      </c>
      <c r="H191" s="44">
        <v>566.5</v>
      </c>
      <c r="I191" s="45">
        <f t="shared" si="7"/>
        <v>1420.46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340</v>
      </c>
      <c r="B192" s="55" t="s">
        <v>93</v>
      </c>
      <c r="C192" s="55" t="s">
        <v>373</v>
      </c>
      <c r="D192" s="57" t="s">
        <v>181</v>
      </c>
      <c r="E192" s="46">
        <v>1</v>
      </c>
      <c r="F192" s="72" t="s">
        <v>474</v>
      </c>
      <c r="G192" s="44">
        <v>0</v>
      </c>
      <c r="H192" s="44">
        <v>1392.8</v>
      </c>
      <c r="I192" s="45">
        <f t="shared" si="7"/>
        <v>1392.8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365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471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340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472</v>
      </c>
      <c r="G194" s="44">
        <v>837.26</v>
      </c>
      <c r="H194" s="44">
        <v>1392.8</v>
      </c>
      <c r="I194" s="45">
        <f t="shared" si="7"/>
        <v>2230.06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365</v>
      </c>
      <c r="B195" s="55" t="s">
        <v>93</v>
      </c>
      <c r="C195" s="55" t="s">
        <v>373</v>
      </c>
      <c r="D195" s="57" t="s">
        <v>199</v>
      </c>
      <c r="E195" s="46">
        <v>1</v>
      </c>
      <c r="F195" s="56" t="s">
        <v>473</v>
      </c>
      <c r="G195" s="44">
        <v>844.13</v>
      </c>
      <c r="H195" s="44">
        <v>1392.8</v>
      </c>
      <c r="I195" s="45">
        <f t="shared" si="7"/>
        <v>2236.9299999999998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346</v>
      </c>
      <c r="B196" s="55" t="s">
        <v>97</v>
      </c>
      <c r="C196" s="55" t="s">
        <v>373</v>
      </c>
      <c r="D196" s="73" t="s">
        <v>199</v>
      </c>
      <c r="E196" s="46">
        <v>1</v>
      </c>
      <c r="F196" s="89" t="s">
        <v>420</v>
      </c>
      <c r="G196" s="44">
        <v>953.37</v>
      </c>
      <c r="H196" s="44">
        <v>566.5</v>
      </c>
      <c r="I196" s="45">
        <f t="shared" si="7"/>
        <v>1519.87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475</v>
      </c>
      <c r="G197" s="44">
        <v>830.46</v>
      </c>
      <c r="H197" s="44">
        <v>1392.8</v>
      </c>
      <c r="I197" s="45">
        <f t="shared" si="7"/>
        <v>2223.2600000000002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x14ac:dyDescent="0.2">
      <c r="A198" s="56" t="s">
        <v>365</v>
      </c>
      <c r="B198" s="55" t="s">
        <v>93</v>
      </c>
      <c r="C198" s="55" t="s">
        <v>373</v>
      </c>
      <c r="D198" s="57" t="s">
        <v>199</v>
      </c>
      <c r="E198" s="46">
        <v>1</v>
      </c>
      <c r="F198" s="56" t="s">
        <v>476</v>
      </c>
      <c r="G198" s="44">
        <v>837.13</v>
      </c>
      <c r="H198" s="44">
        <v>1392.8</v>
      </c>
      <c r="I198" s="45">
        <f t="shared" si="7"/>
        <v>2229.9299999999998</v>
      </c>
      <c r="J198" s="21"/>
      <c r="K198" s="21"/>
      <c r="L198" s="21"/>
      <c r="M198" s="21"/>
      <c r="N198" s="21"/>
      <c r="O198" s="21"/>
      <c r="P198" s="21"/>
      <c r="Q198" s="21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45" x14ac:dyDescent="0.2">
      <c r="A199" s="63" t="s">
        <v>84</v>
      </c>
      <c r="B199" s="63" t="s">
        <v>85</v>
      </c>
      <c r="C199" s="35" t="s">
        <v>86</v>
      </c>
      <c r="D199" s="35" t="s">
        <v>87</v>
      </c>
      <c r="E199" s="35" t="s">
        <v>88</v>
      </c>
      <c r="F199" s="48"/>
      <c r="G199" s="35" t="s">
        <v>89</v>
      </c>
      <c r="H199" s="35" t="s">
        <v>90</v>
      </c>
      <c r="I199" s="35" t="s">
        <v>91</v>
      </c>
      <c r="J199" s="21"/>
      <c r="K199" s="21"/>
      <c r="L199" s="21"/>
      <c r="M199" s="21"/>
      <c r="N199" s="21"/>
      <c r="O199" s="21"/>
      <c r="P199" s="21"/>
      <c r="Q199" s="21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spans="1:30" x14ac:dyDescent="0.2">
      <c r="A200" s="58" t="s">
        <v>92</v>
      </c>
      <c r="B200" s="59" t="s">
        <v>93</v>
      </c>
      <c r="C200" s="28">
        <f>SUMIFS($E$95:$E$198,$B$95:$B$198,"FGS-1",$D$95:$D$198,"&lt;&gt;VAGO")</f>
        <v>44</v>
      </c>
      <c r="D200" s="28">
        <f>SUMIFS($E$95:$E$198,$B$95:$B$198,"FGS-1",$D$95:$D$198,"VAGO")</f>
        <v>0</v>
      </c>
      <c r="E200" s="28">
        <f t="shared" ref="E200:E205" si="8">C200+D200</f>
        <v>44</v>
      </c>
      <c r="F200" s="29"/>
      <c r="G200" s="45">
        <f>SUMIF($B$95:$B$198,"FGS-1",$G$95:$G$198)</f>
        <v>26576.770000000004</v>
      </c>
      <c r="H200" s="45">
        <f>SUMIF($B$95:$B$198,"FGS-1",$H$95:$H$198)</f>
        <v>61283.200000000048</v>
      </c>
      <c r="I200" s="71">
        <f>SUMIF($B$95:$B$198,"FGS-1",$I$95:$I$198)</f>
        <v>87859.969999999987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94</v>
      </c>
      <c r="B201" s="59" t="s">
        <v>95</v>
      </c>
      <c r="C201" s="28">
        <f>SUMIFS($E$95:$E$198,$B$95:$B$198,"FGS-2",$D$95:$D$198,"&lt;&gt;VAGO")</f>
        <v>19</v>
      </c>
      <c r="D201" s="28">
        <f>SUMIFS($E$95:$E$198,$B$95:$B$198,"FGS-2",$D$95:$D$198,"VAGO")</f>
        <v>1</v>
      </c>
      <c r="E201" s="28">
        <f t="shared" si="8"/>
        <v>20</v>
      </c>
      <c r="F201" s="32"/>
      <c r="G201" s="45">
        <f>SUMIF($B$95:$B$198,"FGS-2",$G$95:$G$198)</f>
        <v>41312.22</v>
      </c>
      <c r="H201" s="45">
        <f>SUMIF($B$95:$B$198,"FGS-2",$H$95:$H$198)</f>
        <v>16145.440000000002</v>
      </c>
      <c r="I201" s="71">
        <f>SUMIF($B$95:$B$198,"FGS-2",$I$95:$I$198)</f>
        <v>57457.659999999989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58" t="s">
        <v>96</v>
      </c>
      <c r="B202" s="59" t="s">
        <v>97</v>
      </c>
      <c r="C202" s="28">
        <f>SUMIFS($E$95:$E$198,$B$95:$B$198,"FGS-3",$D$95:$D$198,"&lt;&gt;VAGO")</f>
        <v>32</v>
      </c>
      <c r="D202" s="28">
        <f>SUMIFS($E$95:$E$198,$B$95:$B$198,"FGS-3",$D$95:$D$198,"VAGO")</f>
        <v>0</v>
      </c>
      <c r="E202" s="28">
        <f t="shared" si="8"/>
        <v>32</v>
      </c>
      <c r="F202" s="32"/>
      <c r="G202" s="45">
        <f>SUMIF($B$95:$B$198,"FGS-3",$G$95:$G$198)</f>
        <v>52651.41</v>
      </c>
      <c r="H202" s="45">
        <f>SUMIF($B$95:$B$198,"FGS-3",$H$95:$H$198)</f>
        <v>18954.3</v>
      </c>
      <c r="I202" s="71">
        <f>SUMIF($B$95:$B$198,"FGS-3",$I$95:$I$198)</f>
        <v>71605.710000000006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60" t="s">
        <v>98</v>
      </c>
      <c r="B203" s="61" t="s">
        <v>99</v>
      </c>
      <c r="C203" s="28">
        <f>SUMIFS($E$95:$E$198,$B$95:$B$198,"FGA-1",$D$95:$D$198,"&lt;&gt;VAGO")</f>
        <v>4</v>
      </c>
      <c r="D203" s="28">
        <f>SUMIFS($E$95:$E$198,$B$95:$B$198,"FGA-1",$D$95:$D$198,"VAGO")</f>
        <v>1</v>
      </c>
      <c r="E203" s="28">
        <f t="shared" si="8"/>
        <v>5</v>
      </c>
      <c r="F203" s="34"/>
      <c r="G203" s="45">
        <f>SUMIF($B$95:$B$198,"FGA-1",$G$95:$G$198)</f>
        <v>4180.71</v>
      </c>
      <c r="H203" s="45">
        <f>SUMIF($B$95:$B$198,"FGA-1",$H$95:$H$198)</f>
        <v>2023.24</v>
      </c>
      <c r="I203" s="71">
        <f>SUMIF($B$95:$B$198,"FGA-1",$I$95:$I$198)</f>
        <v>6203.95</v>
      </c>
      <c r="J203" s="21"/>
      <c r="K203" s="21"/>
      <c r="L203" s="21"/>
      <c r="M203" s="21"/>
      <c r="N203" s="21"/>
      <c r="O203" s="21"/>
      <c r="P203" s="21"/>
      <c r="Q203" s="21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100</v>
      </c>
      <c r="B204" s="59" t="s">
        <v>101</v>
      </c>
      <c r="C204" s="28">
        <f>SUMIFS($E$95:$E$198,$B$95:$B$198,"FGA-2",$D$95:$D$198,"&lt;&gt;VAGO")</f>
        <v>2</v>
      </c>
      <c r="D204" s="28">
        <f>SUMIFS($E$95:$E$198,$B$95:$B$198,"FGA-2",$D$95:$D$198,"VAGO")</f>
        <v>0</v>
      </c>
      <c r="E204" s="28">
        <f t="shared" si="8"/>
        <v>2</v>
      </c>
      <c r="F204" s="34"/>
      <c r="G204" s="45">
        <f>SUMIF($B$95:$B$198,"FGA-2",$G$95:$G$198)</f>
        <v>2340.46</v>
      </c>
      <c r="H204" s="45">
        <f>SUMIF($B$95:$B$198,"FGA-2",$H$95:$H$198)</f>
        <v>1315.1100000000001</v>
      </c>
      <c r="I204" s="71">
        <f>SUMIF($B$95:$B$198,"FGA-2",$I$95:$I$198)</f>
        <v>3655.57</v>
      </c>
      <c r="J204" s="21"/>
      <c r="K204" s="21"/>
      <c r="L204" s="21"/>
      <c r="M204" s="21"/>
      <c r="N204" s="21"/>
      <c r="O204" s="21"/>
      <c r="P204" s="21"/>
      <c r="Q204" s="21"/>
      <c r="R204" s="40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1:30" x14ac:dyDescent="0.2">
      <c r="A205" s="58" t="s">
        <v>102</v>
      </c>
      <c r="B205" s="59" t="s">
        <v>103</v>
      </c>
      <c r="C205" s="28">
        <f>SUMIFS($E$95:$E$198,$B$95:$B$198,"FGA-3",$D$95:$D$198,"&lt;&gt;VAGO")</f>
        <v>1</v>
      </c>
      <c r="D205" s="28">
        <f>SUMIFS($E$95:$E$198,$B$95:$B$198,"FGA-3",$D$95:$D$198,"VAGO")</f>
        <v>0</v>
      </c>
      <c r="E205" s="28">
        <f t="shared" si="8"/>
        <v>1</v>
      </c>
      <c r="F205" s="32"/>
      <c r="G205" s="45">
        <f>SUMIF($B$95:$B$198,"FGA-3",$G$95:$G$198)</f>
        <v>1509.2</v>
      </c>
      <c r="H205" s="45">
        <f>SUMIF($B$95:$B$198,"FGA-3",$H$95:$H$198)</f>
        <v>364.17</v>
      </c>
      <c r="I205" s="71">
        <f>SUMIF($B$95:$B$198,"FGA-3",$I$95:$I$198)</f>
        <v>1873.3700000000001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0" x14ac:dyDescent="0.2">
      <c r="A206" s="63" t="s">
        <v>104</v>
      </c>
      <c r="B206" s="48"/>
      <c r="C206" s="35">
        <f t="shared" ref="C206:E206" si="9">SUM(C200:C205)</f>
        <v>102</v>
      </c>
      <c r="D206" s="35">
        <f t="shared" si="9"/>
        <v>2</v>
      </c>
      <c r="E206" s="35">
        <f t="shared" si="9"/>
        <v>104</v>
      </c>
      <c r="F206" s="48"/>
      <c r="G206" s="51">
        <f t="shared" ref="G206:I206" si="10">SUM(G200:G205)</f>
        <v>128570.77000000002</v>
      </c>
      <c r="H206" s="51">
        <f t="shared" si="10"/>
        <v>100085.46000000005</v>
      </c>
      <c r="I206" s="51">
        <f t="shared" si="10"/>
        <v>228656.22999999998</v>
      </c>
      <c r="J206" s="21"/>
      <c r="K206" s="21"/>
      <c r="L206" s="21"/>
      <c r="M206" s="21"/>
      <c r="N206" s="21"/>
      <c r="O206" s="21"/>
      <c r="P206" s="21"/>
      <c r="Q206" s="21"/>
      <c r="R206" s="49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spans="1:30" ht="33" customHeight="1" x14ac:dyDescent="0.2">
      <c r="A207" s="37"/>
      <c r="B207" s="37"/>
      <c r="C207" s="37"/>
      <c r="D207" s="37"/>
      <c r="E207" s="37"/>
      <c r="F207" s="37"/>
      <c r="G207" s="37"/>
      <c r="H207" s="37"/>
      <c r="I207" s="62"/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45" x14ac:dyDescent="0.2">
      <c r="A208" s="63"/>
      <c r="B208" s="63"/>
      <c r="C208" s="35" t="s">
        <v>105</v>
      </c>
      <c r="D208" s="35" t="s">
        <v>106</v>
      </c>
      <c r="E208" s="35" t="s">
        <v>107</v>
      </c>
      <c r="F208" s="25"/>
      <c r="G208" s="35" t="s">
        <v>108</v>
      </c>
      <c r="H208" s="35" t="s">
        <v>109</v>
      </c>
      <c r="I208" s="35" t="s">
        <v>110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x14ac:dyDescent="0.2">
      <c r="A209" s="63" t="s">
        <v>111</v>
      </c>
      <c r="B209" s="25"/>
      <c r="C209" s="35">
        <f>SUM(C39+C91+C206)</f>
        <v>157</v>
      </c>
      <c r="D209" s="35">
        <f>SUM(D39+D91+D206)</f>
        <v>9</v>
      </c>
      <c r="E209" s="35">
        <f>SUM(E39+E91+E206)</f>
        <v>166</v>
      </c>
      <c r="F209" s="25"/>
      <c r="G209" s="51">
        <f>SUM(H39+G91+G206)</f>
        <v>219068.01</v>
      </c>
      <c r="H209" s="51">
        <f>SUM(I39+H91+H206)</f>
        <v>319665.13000000006</v>
      </c>
      <c r="I209" s="51">
        <f>SUM(J39+I91+I206)</f>
        <v>556733.14</v>
      </c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ht="30" customHeight="1" x14ac:dyDescent="0.2">
      <c r="A210" s="37"/>
      <c r="B210" s="37"/>
      <c r="C210" s="37"/>
      <c r="D210" s="37"/>
      <c r="E210" s="37"/>
      <c r="F210" s="37"/>
      <c r="G210" s="37"/>
      <c r="H210" s="37"/>
      <c r="I210" s="62"/>
      <c r="J210" s="62"/>
      <c r="K210" s="7"/>
      <c r="L210" s="62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">
      <c r="A211" s="100" t="s">
        <v>112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21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113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1" t="s">
        <v>482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483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481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ht="15" customHeight="1" x14ac:dyDescent="0.2">
      <c r="A216" s="102" t="s">
        <v>480</v>
      </c>
      <c r="B216" s="93"/>
      <c r="C216" s="93"/>
      <c r="D216" s="93"/>
      <c r="E216" s="93"/>
      <c r="F216" s="94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3"/>
      <c r="B217" s="96"/>
      <c r="C217" s="96"/>
      <c r="D217" s="96"/>
      <c r="E217" s="96"/>
      <c r="F217" s="96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0" t="s">
        <v>114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104" t="s">
        <v>115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116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117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118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119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120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121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122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123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124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125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126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127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128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129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130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131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132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133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134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135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136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137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40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1:30" x14ac:dyDescent="0.2">
      <c r="A242" s="92" t="s">
        <v>138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139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140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141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142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143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144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145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146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147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148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149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150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151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152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153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154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x14ac:dyDescent="0.2">
      <c r="A259" s="92" t="s">
        <v>155</v>
      </c>
      <c r="B259" s="93"/>
      <c r="C259" s="93"/>
      <c r="D259" s="93"/>
      <c r="E259" s="93"/>
      <c r="F259" s="94"/>
      <c r="G259" s="21"/>
      <c r="H259" s="37"/>
      <c r="I259" s="37"/>
      <c r="J259" s="37"/>
      <c r="K259" s="37"/>
      <c r="L259" s="37"/>
      <c r="M259" s="62"/>
      <c r="N259" s="62"/>
      <c r="O259" s="62"/>
      <c r="P259" s="62"/>
      <c r="Q259" s="62"/>
      <c r="R259" s="64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156</v>
      </c>
      <c r="B260" s="93"/>
      <c r="C260" s="93"/>
      <c r="D260" s="93"/>
      <c r="E260" s="93"/>
      <c r="F260" s="94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157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158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159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160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161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162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163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164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165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166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167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168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169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170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171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172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173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174</v>
      </c>
      <c r="B278" s="93"/>
      <c r="C278" s="93"/>
      <c r="D278" s="93"/>
      <c r="E278" s="93"/>
      <c r="F278" s="94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92" t="s">
        <v>175</v>
      </c>
      <c r="B279" s="93"/>
      <c r="C279" s="93"/>
      <c r="D279" s="93"/>
      <c r="E279" s="93"/>
      <c r="F279" s="94"/>
      <c r="G279" s="68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</row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</sheetData>
  <mergeCells count="76">
    <mergeCell ref="A41:I41"/>
    <mergeCell ref="A1:J1"/>
    <mergeCell ref="A2:J2"/>
    <mergeCell ref="A3:J3"/>
    <mergeCell ref="B4:J4"/>
    <mergeCell ref="A5:J5"/>
    <mergeCell ref="A221:F221"/>
    <mergeCell ref="A93:I93"/>
    <mergeCell ref="A211:F211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20:F220"/>
    <mergeCell ref="A233:F233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32:F232"/>
    <mergeCell ref="A245:F245"/>
    <mergeCell ref="A234:F234"/>
    <mergeCell ref="A235:F235"/>
    <mergeCell ref="A236:F236"/>
    <mergeCell ref="A237:F237"/>
    <mergeCell ref="A238:F238"/>
    <mergeCell ref="A239:F239"/>
    <mergeCell ref="A240:F240"/>
    <mergeCell ref="A241:F241"/>
    <mergeCell ref="A242:F242"/>
    <mergeCell ref="A243:F243"/>
    <mergeCell ref="A244:F244"/>
    <mergeCell ref="A257:F257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F255"/>
    <mergeCell ref="A256:F256"/>
    <mergeCell ref="A269:F269"/>
    <mergeCell ref="A258:F258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68:F268"/>
    <mergeCell ref="A276:F276"/>
    <mergeCell ref="A277:F277"/>
    <mergeCell ref="A278:F278"/>
    <mergeCell ref="A279:F279"/>
    <mergeCell ref="A270:F270"/>
    <mergeCell ref="A271:F271"/>
    <mergeCell ref="A272:F272"/>
    <mergeCell ref="A273:F273"/>
    <mergeCell ref="A274:F274"/>
    <mergeCell ref="A275:F275"/>
  </mergeCells>
  <dataValidations count="4">
    <dataValidation type="list" allowBlank="1" sqref="B7:B26">
      <formula1>"DAS,DAS-1,DAS-2,DAS-3,DAS-4,DAS-5,CAA-1,CAA-2,CAA-3,CAA-4,CAA-5"</formula1>
    </dataValidation>
    <dataValidation type="list" allowBlank="1" sqref="B95:B198">
      <formula1>"FGS-1,FGS-2,FGS-3,FGA-1,FGA-2,FGA-3"</formula1>
    </dataValidation>
    <dataValidation type="list" allowBlank="1" sqref="D95:D198 D7:D26 D43:D84">
      <formula1>"AGP,CLH,CLT,COM,CTD,CTI,DES,DISP,ELE,ESG,EST,EXM,EXQ,EXR,FRQ,REV,VAGO"</formula1>
    </dataValidation>
    <dataValidation type="list" allowBlank="1" sqref="B43:B84">
      <formula1>"FDA,FDA-1,FDA-2,FDA-3,FDA-4"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8"/>
  <sheetViews>
    <sheetView zoomScale="102" zoomScaleNormal="102" workbookViewId="0">
      <selection activeCell="A2" sqref="A2:J2"/>
    </sheetView>
  </sheetViews>
  <sheetFormatPr defaultColWidth="12.625" defaultRowHeight="15" customHeight="1" x14ac:dyDescent="0.2"/>
  <cols>
    <col min="1" max="1" width="69.75" style="70" bestFit="1" customWidth="1"/>
    <col min="2" max="2" width="9.75" style="70" bestFit="1" customWidth="1"/>
    <col min="3" max="3" width="24" style="70" bestFit="1" customWidth="1"/>
    <col min="4" max="4" width="12.25" style="70" bestFit="1" customWidth="1"/>
    <col min="5" max="5" width="9.25" style="70" bestFit="1" customWidth="1"/>
    <col min="6" max="6" width="44.125" style="70" bestFit="1" customWidth="1"/>
    <col min="7" max="7" width="17.5" style="70" bestFit="1" customWidth="1"/>
    <col min="8" max="8" width="17.875" style="70" bestFit="1" customWidth="1"/>
    <col min="9" max="9" width="17.875" style="70" customWidth="1"/>
    <col min="10" max="10" width="11.75" style="70" bestFit="1" customWidth="1"/>
    <col min="11" max="16" width="8" style="70" customWidth="1"/>
    <col min="17" max="17" width="43.875" style="70" customWidth="1"/>
    <col min="18" max="30" width="8" style="70" customWidth="1"/>
    <col min="31" max="16384" width="12.625" style="70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484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47" t="s">
        <v>180</v>
      </c>
      <c r="B8" s="57" t="s">
        <v>29</v>
      </c>
      <c r="C8" s="57" t="s">
        <v>178</v>
      </c>
      <c r="D8" s="57" t="s">
        <v>181</v>
      </c>
      <c r="E8" s="46">
        <v>1</v>
      </c>
      <c r="F8" s="47" t="s">
        <v>212</v>
      </c>
      <c r="G8" s="44">
        <v>0</v>
      </c>
      <c r="H8" s="44">
        <v>0</v>
      </c>
      <c r="I8" s="44">
        <v>5703.56</v>
      </c>
      <c r="J8" s="45">
        <f t="shared" si="0"/>
        <v>5703.56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7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182</v>
      </c>
      <c r="B11" s="57" t="s">
        <v>41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184</v>
      </c>
      <c r="B12" s="57" t="s">
        <v>43</v>
      </c>
      <c r="C12" s="57" t="s">
        <v>178</v>
      </c>
      <c r="D12" s="57" t="s">
        <v>183</v>
      </c>
      <c r="E12" s="46">
        <v>1</v>
      </c>
      <c r="F12" s="47" t="s">
        <v>183</v>
      </c>
      <c r="G12" s="44">
        <v>0</v>
      </c>
      <c r="H12" s="44">
        <v>0</v>
      </c>
      <c r="I12" s="44">
        <v>0</v>
      </c>
      <c r="J12" s="45">
        <f t="shared" si="0"/>
        <v>0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185</v>
      </c>
      <c r="B13" s="57" t="s">
        <v>33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186</v>
      </c>
      <c r="B14" s="57" t="s">
        <v>39</v>
      </c>
      <c r="C14" s="57" t="s">
        <v>178</v>
      </c>
      <c r="D14" s="57" t="s">
        <v>183</v>
      </c>
      <c r="E14" s="46">
        <v>1</v>
      </c>
      <c r="F14" s="47" t="s">
        <v>183</v>
      </c>
      <c r="G14" s="44">
        <v>0</v>
      </c>
      <c r="H14" s="44">
        <v>0</v>
      </c>
      <c r="I14" s="44">
        <v>0</v>
      </c>
      <c r="J14" s="45">
        <f t="shared" si="0"/>
        <v>0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187</v>
      </c>
      <c r="B15" s="57" t="s">
        <v>37</v>
      </c>
      <c r="C15" s="57" t="s">
        <v>178</v>
      </c>
      <c r="D15" s="57" t="s">
        <v>188</v>
      </c>
      <c r="E15" s="46">
        <v>1</v>
      </c>
      <c r="F15" s="47" t="s">
        <v>213</v>
      </c>
      <c r="G15" s="44">
        <v>0</v>
      </c>
      <c r="H15" s="44">
        <v>0</v>
      </c>
      <c r="I15" s="44">
        <v>3083.01</v>
      </c>
      <c r="J15" s="45">
        <f t="shared" si="0"/>
        <v>3083.01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189</v>
      </c>
      <c r="B16" s="57" t="s">
        <v>39</v>
      </c>
      <c r="C16" s="57" t="s">
        <v>190</v>
      </c>
      <c r="D16" s="57" t="s">
        <v>183</v>
      </c>
      <c r="E16" s="46">
        <v>1</v>
      </c>
      <c r="F16" s="47" t="s">
        <v>183</v>
      </c>
      <c r="G16" s="44">
        <v>0</v>
      </c>
      <c r="H16" s="44">
        <v>0</v>
      </c>
      <c r="I16" s="44">
        <v>0</v>
      </c>
      <c r="J16" s="45">
        <f t="shared" si="0"/>
        <v>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47" t="s">
        <v>191</v>
      </c>
      <c r="B17" s="57" t="s">
        <v>25</v>
      </c>
      <c r="C17" s="57" t="s">
        <v>192</v>
      </c>
      <c r="D17" s="57" t="s">
        <v>181</v>
      </c>
      <c r="E17" s="46">
        <v>1</v>
      </c>
      <c r="F17" s="47" t="s">
        <v>214</v>
      </c>
      <c r="G17" s="44">
        <v>0</v>
      </c>
      <c r="H17" s="44">
        <v>0</v>
      </c>
      <c r="I17" s="44">
        <v>10400</v>
      </c>
      <c r="J17" s="45">
        <f t="shared" si="0"/>
        <v>10400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57" t="s">
        <v>183</v>
      </c>
      <c r="E19" s="46">
        <v>1</v>
      </c>
      <c r="F19" s="47" t="s">
        <v>486</v>
      </c>
      <c r="G19" s="44">
        <v>0</v>
      </c>
      <c r="H19" s="44">
        <v>0</v>
      </c>
      <c r="I19" s="44">
        <v>0</v>
      </c>
      <c r="J19" s="45">
        <f t="shared" si="0"/>
        <v>0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183</v>
      </c>
      <c r="E21" s="46">
        <v>1</v>
      </c>
      <c r="F21" s="47" t="s">
        <v>183</v>
      </c>
      <c r="G21" s="44">
        <v>0</v>
      </c>
      <c r="H21" s="44">
        <v>0</v>
      </c>
      <c r="I21" s="44">
        <v>0</v>
      </c>
      <c r="J21" s="45">
        <f t="shared" si="0"/>
        <v>0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183</v>
      </c>
      <c r="E22" s="46">
        <v>1</v>
      </c>
      <c r="F22" s="47" t="s">
        <v>183</v>
      </c>
      <c r="G22" s="44">
        <v>0</v>
      </c>
      <c r="H22" s="44">
        <v>0</v>
      </c>
      <c r="I22" s="44">
        <v>0</v>
      </c>
      <c r="J22" s="45">
        <f t="shared" si="0"/>
        <v>0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57" t="s">
        <v>181</v>
      </c>
      <c r="E23" s="46">
        <v>1</v>
      </c>
      <c r="F23" s="47" t="s">
        <v>217</v>
      </c>
      <c r="G23" s="44">
        <v>0</v>
      </c>
      <c r="H23" s="44">
        <v>0</v>
      </c>
      <c r="I23" s="44">
        <v>3083.01</v>
      </c>
      <c r="J23" s="45">
        <f t="shared" si="0"/>
        <v>3083.01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183</v>
      </c>
      <c r="E26" s="46">
        <v>1</v>
      </c>
      <c r="F26" s="47" t="s">
        <v>183</v>
      </c>
      <c r="G26" s="44">
        <v>0</v>
      </c>
      <c r="H26" s="44">
        <v>0</v>
      </c>
      <c r="I26" s="44">
        <v>0</v>
      </c>
      <c r="J26" s="45">
        <f t="shared" si="0"/>
        <v>0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1</v>
      </c>
      <c r="D29" s="28">
        <f>SUMIFS($E$7:$E$26,$B$7:$B$26,"DAS-1",$D$7:$D$26,"VAGO")</f>
        <v>0</v>
      </c>
      <c r="E29" s="28">
        <f t="shared" si="1"/>
        <v>1</v>
      </c>
      <c r="F29" s="32"/>
      <c r="G29" s="30">
        <f>SUMIF($B$7:$B$26,"DAS-1",$G$7:$G$26)</f>
        <v>0</v>
      </c>
      <c r="H29" s="30">
        <f>SUMIF($B$7:$B$26,"DAS-1",$H$7:$H$26)</f>
        <v>0</v>
      </c>
      <c r="I29" s="30">
        <f>SUMIF($B$7:$B$26,"DAS-1",$I$7:$I$26)</f>
        <v>10400</v>
      </c>
      <c r="J29" s="30">
        <f>SUMIF($B$7:$B$26,"DAS-1",$J$7:$J$26)</f>
        <v>10400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1</v>
      </c>
      <c r="D31" s="28">
        <f>SUMIFS($E$7:$E$26,$B$7:$B$26,"DAS-3",$D$7:$D$26,"VAGO")</f>
        <v>0</v>
      </c>
      <c r="E31" s="28">
        <f t="shared" si="1"/>
        <v>1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5703.56</v>
      </c>
      <c r="J31" s="30">
        <f>SUMIF($B$7:$B$26,"DAS-3",$J$7:$J$26)</f>
        <v>5703.56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0</v>
      </c>
      <c r="D32" s="28">
        <f>SUMIFS($E$7:$E$26,$B$7:$B$26,"DAS-4",$D$7:$D$26,"VAGO")</f>
        <v>1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0</v>
      </c>
      <c r="I32" s="30">
        <f>SUMIF($B$7:$B$26,"DAS-4",$I$7:$I$26)</f>
        <v>0</v>
      </c>
      <c r="J32" s="30">
        <f>SUMIF($B$7:$B$26,"DAS-4",$J$7:$J$26)</f>
        <v>0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2</v>
      </c>
      <c r="D33" s="28">
        <f>SUMIFS($E$7:$E$26,$B$7:$B$26,"DAS-5",$D$7:$D$26,"VAGO")</f>
        <v>3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1109.1600000000001</v>
      </c>
      <c r="I33" s="30">
        <f>SUMIF($B$7:$B$26,"DAS-5",$I$7:$I$26)</f>
        <v>8632.42</v>
      </c>
      <c r="J33" s="30">
        <f>SUMIF($B$7:$B$26,"DAS-5",$J$7:$J$26)</f>
        <v>9741.58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3</v>
      </c>
      <c r="D35" s="28">
        <f>SUMIFS($E$7:$E$26,$B$7:$B$26,"CAA-2",$D$7:$D$26,"VAGO")</f>
        <v>2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24932.44</v>
      </c>
      <c r="I35" s="30">
        <f>SUMIF($B$7:$B$26,"CAA-2",$I$7:$I$26)</f>
        <v>9249.0300000000007</v>
      </c>
      <c r="J35" s="30">
        <f>SUMIF($B$7:$B$26,"CAA-2",$J$7:$J$26)</f>
        <v>34181.47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8</v>
      </c>
      <c r="D39" s="35">
        <f>SUM(D28:D38)</f>
        <v>12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26041.599999999999</v>
      </c>
      <c r="I39" s="36">
        <f t="shared" si="2"/>
        <v>33985.01</v>
      </c>
      <c r="J39" s="36">
        <f t="shared" si="2"/>
        <v>78026.61</v>
      </c>
      <c r="K39" s="37"/>
      <c r="L39" s="37"/>
      <c r="M39" s="37"/>
      <c r="N39" s="37"/>
      <c r="O39" s="37"/>
      <c r="P39" s="37"/>
      <c r="Q39" s="37"/>
    </row>
    <row r="40" spans="1:30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3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222</v>
      </c>
      <c r="B44" s="42" t="s">
        <v>68</v>
      </c>
      <c r="C44" s="57" t="s">
        <v>223</v>
      </c>
      <c r="D44" s="57" t="s">
        <v>199</v>
      </c>
      <c r="E44" s="46">
        <v>1</v>
      </c>
      <c r="F44" s="43" t="s">
        <v>301</v>
      </c>
      <c r="G44" s="44">
        <v>16704.73</v>
      </c>
      <c r="H44" s="44">
        <v>5241.1099999999997</v>
      </c>
      <c r="I44" s="45">
        <f t="shared" si="3"/>
        <v>21945.84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47" t="s">
        <v>224</v>
      </c>
      <c r="B45" s="42" t="s">
        <v>72</v>
      </c>
      <c r="C45" s="57" t="s">
        <v>225</v>
      </c>
      <c r="D45" s="57" t="s">
        <v>181</v>
      </c>
      <c r="E45" s="46">
        <v>1</v>
      </c>
      <c r="F45" s="47" t="s">
        <v>302</v>
      </c>
      <c r="G45" s="44">
        <v>0</v>
      </c>
      <c r="H45" s="44">
        <v>3083.01</v>
      </c>
      <c r="I45" s="45">
        <f t="shared" si="3"/>
        <v>3083.01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226</v>
      </c>
      <c r="B46" s="42" t="s">
        <v>66</v>
      </c>
      <c r="C46" s="57" t="s">
        <v>227</v>
      </c>
      <c r="D46" s="57" t="s">
        <v>181</v>
      </c>
      <c r="E46" s="46">
        <v>1</v>
      </c>
      <c r="F46" s="47" t="s">
        <v>303</v>
      </c>
      <c r="G46" s="44">
        <v>0</v>
      </c>
      <c r="H46" s="44">
        <v>5703.56</v>
      </c>
      <c r="I46" s="45">
        <f t="shared" si="3"/>
        <v>5703.56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228</v>
      </c>
      <c r="B47" s="42" t="s">
        <v>72</v>
      </c>
      <c r="C47" s="57" t="s">
        <v>229</v>
      </c>
      <c r="D47" s="57" t="s">
        <v>181</v>
      </c>
      <c r="E47" s="46">
        <v>1</v>
      </c>
      <c r="F47" s="47" t="s">
        <v>304</v>
      </c>
      <c r="G47" s="44">
        <v>0</v>
      </c>
      <c r="H47" s="44">
        <v>3083.01</v>
      </c>
      <c r="I47" s="45">
        <f t="shared" si="3"/>
        <v>3083.01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230</v>
      </c>
      <c r="B48" s="42" t="s">
        <v>68</v>
      </c>
      <c r="C48" s="57" t="s">
        <v>231</v>
      </c>
      <c r="D48" s="57" t="s">
        <v>199</v>
      </c>
      <c r="E48" s="46">
        <v>1</v>
      </c>
      <c r="F48" s="47" t="s">
        <v>305</v>
      </c>
      <c r="G48" s="44">
        <v>16704.73</v>
      </c>
      <c r="H48" s="44">
        <v>5241.1099999999997</v>
      </c>
      <c r="I48" s="45">
        <f t="shared" si="3"/>
        <v>21945.84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232</v>
      </c>
      <c r="B49" s="42" t="s">
        <v>68</v>
      </c>
      <c r="C49" s="57" t="s">
        <v>233</v>
      </c>
      <c r="D49" s="57" t="s">
        <v>181</v>
      </c>
      <c r="E49" s="46">
        <v>1</v>
      </c>
      <c r="F49" s="47" t="s">
        <v>306</v>
      </c>
      <c r="G49" s="44">
        <v>0</v>
      </c>
      <c r="H49" s="44">
        <v>5241.1099999999997</v>
      </c>
      <c r="I49" s="45">
        <f t="shared" si="3"/>
        <v>5241.1099999999997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234</v>
      </c>
      <c r="B50" s="42" t="s">
        <v>68</v>
      </c>
      <c r="C50" s="57" t="s">
        <v>223</v>
      </c>
      <c r="D50" s="57" t="s">
        <v>181</v>
      </c>
      <c r="E50" s="46">
        <v>1</v>
      </c>
      <c r="F50" s="47" t="s">
        <v>307</v>
      </c>
      <c r="G50" s="44">
        <v>0</v>
      </c>
      <c r="H50" s="44">
        <v>5241.1099999999997</v>
      </c>
      <c r="I50" s="45">
        <f t="shared" si="3"/>
        <v>5241.1099999999997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235</v>
      </c>
      <c r="B51" s="42" t="s">
        <v>66</v>
      </c>
      <c r="C51" s="57" t="s">
        <v>236</v>
      </c>
      <c r="D51" s="57" t="s">
        <v>181</v>
      </c>
      <c r="E51" s="46">
        <v>1</v>
      </c>
      <c r="F51" s="47" t="s">
        <v>308</v>
      </c>
      <c r="G51" s="44">
        <v>0</v>
      </c>
      <c r="H51" s="44">
        <v>5703.56</v>
      </c>
      <c r="I51" s="45">
        <f t="shared" si="3"/>
        <v>5703.56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237</v>
      </c>
      <c r="B52" s="42" t="s">
        <v>72</v>
      </c>
      <c r="C52" s="57" t="s">
        <v>238</v>
      </c>
      <c r="D52" s="57" t="s">
        <v>181</v>
      </c>
      <c r="E52" s="46">
        <v>1</v>
      </c>
      <c r="F52" s="47" t="s">
        <v>309</v>
      </c>
      <c r="G52" s="44">
        <v>0</v>
      </c>
      <c r="H52" s="44">
        <v>3083.01</v>
      </c>
      <c r="I52" s="45">
        <f t="shared" si="3"/>
        <v>3083.01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239</v>
      </c>
      <c r="B53" s="42" t="s">
        <v>72</v>
      </c>
      <c r="C53" s="57" t="s">
        <v>240</v>
      </c>
      <c r="D53" s="57" t="s">
        <v>181</v>
      </c>
      <c r="E53" s="46">
        <v>1</v>
      </c>
      <c r="F53" s="47" t="s">
        <v>310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241</v>
      </c>
      <c r="B54" s="42" t="s">
        <v>72</v>
      </c>
      <c r="C54" s="57" t="s">
        <v>242</v>
      </c>
      <c r="D54" s="57" t="s">
        <v>181</v>
      </c>
      <c r="E54" s="46">
        <v>1</v>
      </c>
      <c r="F54" s="47" t="s">
        <v>311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243</v>
      </c>
      <c r="B55" s="42" t="s">
        <v>72</v>
      </c>
      <c r="C55" s="57" t="s">
        <v>244</v>
      </c>
      <c r="D55" s="57" t="s">
        <v>181</v>
      </c>
      <c r="E55" s="46">
        <v>1</v>
      </c>
      <c r="F55" s="47" t="s">
        <v>312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245</v>
      </c>
      <c r="B56" s="42" t="s">
        <v>72</v>
      </c>
      <c r="C56" s="57" t="s">
        <v>246</v>
      </c>
      <c r="D56" s="57" t="s">
        <v>181</v>
      </c>
      <c r="E56" s="46">
        <v>1</v>
      </c>
      <c r="F56" s="47" t="s">
        <v>313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247</v>
      </c>
      <c r="B57" s="42" t="s">
        <v>66</v>
      </c>
      <c r="C57" s="57" t="s">
        <v>248</v>
      </c>
      <c r="D57" s="57" t="s">
        <v>181</v>
      </c>
      <c r="E57" s="46">
        <v>1</v>
      </c>
      <c r="F57" s="47" t="s">
        <v>314</v>
      </c>
      <c r="G57" s="44">
        <v>0</v>
      </c>
      <c r="H57" s="44">
        <v>5703.56</v>
      </c>
      <c r="I57" s="45">
        <f t="shared" si="3"/>
        <v>5703.56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249</v>
      </c>
      <c r="B58" s="42" t="s">
        <v>72</v>
      </c>
      <c r="C58" s="57" t="s">
        <v>250</v>
      </c>
      <c r="D58" s="57" t="s">
        <v>181</v>
      </c>
      <c r="E58" s="46">
        <v>1</v>
      </c>
      <c r="F58" s="47" t="s">
        <v>315</v>
      </c>
      <c r="G58" s="44">
        <v>0</v>
      </c>
      <c r="H58" s="44">
        <v>3083.01</v>
      </c>
      <c r="I58" s="45">
        <f t="shared" si="3"/>
        <v>3083.01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251</v>
      </c>
      <c r="B59" s="42" t="s">
        <v>72</v>
      </c>
      <c r="C59" s="57" t="s">
        <v>252</v>
      </c>
      <c r="D59" s="57" t="s">
        <v>199</v>
      </c>
      <c r="E59" s="46">
        <v>1</v>
      </c>
      <c r="F59" s="47" t="s">
        <v>316</v>
      </c>
      <c r="G59" s="44">
        <v>831.26</v>
      </c>
      <c r="H59" s="44">
        <v>3083.01</v>
      </c>
      <c r="I59" s="45">
        <f t="shared" si="3"/>
        <v>3914.2700000000004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253</v>
      </c>
      <c r="B60" s="42" t="s">
        <v>70</v>
      </c>
      <c r="C60" s="57" t="s">
        <v>254</v>
      </c>
      <c r="D60" s="57" t="s">
        <v>181</v>
      </c>
      <c r="E60" s="46">
        <v>1</v>
      </c>
      <c r="F60" s="47" t="s">
        <v>317</v>
      </c>
      <c r="G60" s="44">
        <v>0</v>
      </c>
      <c r="H60" s="44">
        <v>4316.21</v>
      </c>
      <c r="I60" s="45">
        <f t="shared" si="3"/>
        <v>4316.21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255</v>
      </c>
      <c r="B61" s="42" t="s">
        <v>72</v>
      </c>
      <c r="C61" s="57" t="s">
        <v>256</v>
      </c>
      <c r="D61" s="57" t="s">
        <v>181</v>
      </c>
      <c r="E61" s="46">
        <v>1</v>
      </c>
      <c r="F61" s="47" t="s">
        <v>318</v>
      </c>
      <c r="G61" s="44">
        <v>0</v>
      </c>
      <c r="H61" s="44">
        <v>3083.01</v>
      </c>
      <c r="I61" s="45">
        <f t="shared" si="3"/>
        <v>3083.01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257</v>
      </c>
      <c r="B62" s="42" t="s">
        <v>72</v>
      </c>
      <c r="C62" s="57" t="s">
        <v>258</v>
      </c>
      <c r="D62" s="57" t="s">
        <v>181</v>
      </c>
      <c r="E62" s="46">
        <v>1</v>
      </c>
      <c r="F62" s="47" t="s">
        <v>319</v>
      </c>
      <c r="G62" s="44">
        <v>0</v>
      </c>
      <c r="H62" s="44">
        <v>3083.01</v>
      </c>
      <c r="I62" s="45">
        <f t="shared" si="3"/>
        <v>3083.01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259</v>
      </c>
      <c r="B63" s="42" t="s">
        <v>66</v>
      </c>
      <c r="C63" s="57" t="s">
        <v>260</v>
      </c>
      <c r="D63" s="57" t="s">
        <v>181</v>
      </c>
      <c r="E63" s="46">
        <v>1</v>
      </c>
      <c r="F63" s="47" t="s">
        <v>320</v>
      </c>
      <c r="G63" s="44">
        <v>0</v>
      </c>
      <c r="H63" s="44">
        <v>5703.56</v>
      </c>
      <c r="I63" s="45">
        <f t="shared" si="3"/>
        <v>5703.56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261</v>
      </c>
      <c r="B64" s="42" t="s">
        <v>72</v>
      </c>
      <c r="C64" s="57" t="s">
        <v>262</v>
      </c>
      <c r="D64" s="57" t="s">
        <v>181</v>
      </c>
      <c r="E64" s="46">
        <v>1</v>
      </c>
      <c r="F64" s="47" t="s">
        <v>321</v>
      </c>
      <c r="G64" s="44">
        <v>0</v>
      </c>
      <c r="H64" s="44">
        <v>3083.01</v>
      </c>
      <c r="I64" s="45">
        <f t="shared" si="3"/>
        <v>3083.01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263</v>
      </c>
      <c r="B65" s="42" t="s">
        <v>72</v>
      </c>
      <c r="C65" s="57" t="s">
        <v>264</v>
      </c>
      <c r="D65" s="57" t="s">
        <v>181</v>
      </c>
      <c r="E65" s="46">
        <v>1</v>
      </c>
      <c r="F65" s="47" t="s">
        <v>322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265</v>
      </c>
      <c r="B66" s="42" t="s">
        <v>72</v>
      </c>
      <c r="C66" s="57" t="s">
        <v>266</v>
      </c>
      <c r="D66" s="57" t="s">
        <v>181</v>
      </c>
      <c r="E66" s="46">
        <v>1</v>
      </c>
      <c r="F66" s="47" t="s">
        <v>323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267</v>
      </c>
      <c r="B67" s="42" t="s">
        <v>72</v>
      </c>
      <c r="C67" s="57" t="s">
        <v>268</v>
      </c>
      <c r="D67" s="57" t="s">
        <v>181</v>
      </c>
      <c r="E67" s="46">
        <v>1</v>
      </c>
      <c r="F67" s="47" t="s">
        <v>324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269</v>
      </c>
      <c r="B68" s="42" t="s">
        <v>72</v>
      </c>
      <c r="C68" s="57" t="s">
        <v>270</v>
      </c>
      <c r="D68" s="57" t="s">
        <v>181</v>
      </c>
      <c r="E68" s="46">
        <v>1</v>
      </c>
      <c r="F68" s="47" t="s">
        <v>325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271</v>
      </c>
      <c r="B69" s="42" t="s">
        <v>72</v>
      </c>
      <c r="C69" s="57" t="s">
        <v>272</v>
      </c>
      <c r="D69" s="57" t="s">
        <v>181</v>
      </c>
      <c r="E69" s="46">
        <v>1</v>
      </c>
      <c r="F69" s="47" t="s">
        <v>326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273</v>
      </c>
      <c r="B70" s="42" t="s">
        <v>72</v>
      </c>
      <c r="C70" s="57" t="s">
        <v>274</v>
      </c>
      <c r="D70" s="57" t="s">
        <v>181</v>
      </c>
      <c r="E70" s="46">
        <v>1</v>
      </c>
      <c r="F70" s="47" t="s">
        <v>327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275</v>
      </c>
      <c r="B71" s="42" t="s">
        <v>72</v>
      </c>
      <c r="C71" s="57" t="s">
        <v>260</v>
      </c>
      <c r="D71" s="57" t="s">
        <v>181</v>
      </c>
      <c r="E71" s="46">
        <v>1</v>
      </c>
      <c r="F71" s="47" t="s">
        <v>328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276</v>
      </c>
      <c r="B72" s="42" t="s">
        <v>72</v>
      </c>
      <c r="C72" s="57" t="s">
        <v>277</v>
      </c>
      <c r="D72" s="57" t="s">
        <v>181</v>
      </c>
      <c r="E72" s="46">
        <v>1</v>
      </c>
      <c r="F72" s="47" t="s">
        <v>329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278</v>
      </c>
      <c r="B73" s="42" t="s">
        <v>72</v>
      </c>
      <c r="C73" s="57" t="s">
        <v>279</v>
      </c>
      <c r="D73" s="57" t="s">
        <v>181</v>
      </c>
      <c r="E73" s="46">
        <v>1</v>
      </c>
      <c r="F73" s="47" t="s">
        <v>330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280</v>
      </c>
      <c r="B74" s="42" t="s">
        <v>66</v>
      </c>
      <c r="C74" s="57" t="s">
        <v>281</v>
      </c>
      <c r="D74" s="57" t="s">
        <v>181</v>
      </c>
      <c r="E74" s="46">
        <v>1</v>
      </c>
      <c r="F74" s="47" t="s">
        <v>331</v>
      </c>
      <c r="G74" s="44">
        <v>0</v>
      </c>
      <c r="H74" s="44">
        <v>5703.56</v>
      </c>
      <c r="I74" s="45">
        <f t="shared" si="3"/>
        <v>5703.56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282</v>
      </c>
      <c r="B75" s="42" t="s">
        <v>72</v>
      </c>
      <c r="C75" s="57" t="s">
        <v>283</v>
      </c>
      <c r="D75" s="57" t="s">
        <v>181</v>
      </c>
      <c r="E75" s="46">
        <v>1</v>
      </c>
      <c r="F75" s="47" t="s">
        <v>332</v>
      </c>
      <c r="G75" s="44">
        <v>0</v>
      </c>
      <c r="H75" s="44">
        <v>3083.01</v>
      </c>
      <c r="I75" s="45">
        <f t="shared" si="3"/>
        <v>3083.01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284</v>
      </c>
      <c r="B76" s="42" t="s">
        <v>72</v>
      </c>
      <c r="C76" s="57" t="s">
        <v>285</v>
      </c>
      <c r="D76" s="57" t="s">
        <v>181</v>
      </c>
      <c r="E76" s="46">
        <v>1</v>
      </c>
      <c r="F76" s="47" t="s">
        <v>333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286</v>
      </c>
      <c r="B77" s="42" t="s">
        <v>72</v>
      </c>
      <c r="C77" s="57" t="s">
        <v>287</v>
      </c>
      <c r="D77" s="57" t="s">
        <v>181</v>
      </c>
      <c r="E77" s="46">
        <v>1</v>
      </c>
      <c r="F77" s="47" t="s">
        <v>334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288</v>
      </c>
      <c r="B78" s="42" t="s">
        <v>70</v>
      </c>
      <c r="C78" s="57" t="s">
        <v>289</v>
      </c>
      <c r="D78" s="57" t="s">
        <v>181</v>
      </c>
      <c r="E78" s="46">
        <v>1</v>
      </c>
      <c r="F78" s="47" t="s">
        <v>335</v>
      </c>
      <c r="G78" s="44">
        <v>0</v>
      </c>
      <c r="H78" s="44">
        <v>4316.21</v>
      </c>
      <c r="I78" s="45">
        <f t="shared" si="3"/>
        <v>4316.21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290</v>
      </c>
      <c r="B79" s="42" t="s">
        <v>66</v>
      </c>
      <c r="C79" s="57" t="s">
        <v>291</v>
      </c>
      <c r="D79" s="57" t="s">
        <v>181</v>
      </c>
      <c r="E79" s="46">
        <v>1</v>
      </c>
      <c r="F79" s="47" t="s">
        <v>336</v>
      </c>
      <c r="G79" s="44">
        <v>0</v>
      </c>
      <c r="H79" s="44">
        <v>5703.56</v>
      </c>
      <c r="I79" s="45">
        <f t="shared" si="3"/>
        <v>5703.56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292</v>
      </c>
      <c r="B80" s="42" t="s">
        <v>72</v>
      </c>
      <c r="C80" s="57" t="s">
        <v>293</v>
      </c>
      <c r="D80" s="57" t="s">
        <v>199</v>
      </c>
      <c r="E80" s="46">
        <v>1</v>
      </c>
      <c r="F80" s="47" t="s">
        <v>337</v>
      </c>
      <c r="G80" s="44">
        <v>1509.2</v>
      </c>
      <c r="H80" s="44">
        <v>3083.01</v>
      </c>
      <c r="I80" s="45">
        <f t="shared" si="3"/>
        <v>4592.21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294</v>
      </c>
      <c r="B81" s="42" t="s">
        <v>72</v>
      </c>
      <c r="C81" s="57" t="s">
        <v>295</v>
      </c>
      <c r="D81" s="57" t="s">
        <v>183</v>
      </c>
      <c r="E81" s="46">
        <v>1</v>
      </c>
      <c r="F81" s="47" t="s">
        <v>183</v>
      </c>
      <c r="G81" s="44">
        <v>0</v>
      </c>
      <c r="H81" s="44">
        <v>0</v>
      </c>
      <c r="I81" s="45">
        <f t="shared" si="3"/>
        <v>0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296</v>
      </c>
      <c r="B82" s="42" t="s">
        <v>72</v>
      </c>
      <c r="C82" s="57" t="s">
        <v>297</v>
      </c>
      <c r="D82" s="57" t="s">
        <v>199</v>
      </c>
      <c r="E82" s="46">
        <v>1</v>
      </c>
      <c r="F82" s="47" t="s">
        <v>338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298</v>
      </c>
      <c r="B83" s="42" t="s">
        <v>68</v>
      </c>
      <c r="C83" s="57" t="s">
        <v>299</v>
      </c>
      <c r="D83" s="57" t="s">
        <v>181</v>
      </c>
      <c r="E83" s="46">
        <v>1</v>
      </c>
      <c r="F83" s="47" t="s">
        <v>339</v>
      </c>
      <c r="G83" s="44">
        <v>0</v>
      </c>
      <c r="H83" s="44">
        <v>5241.1099999999997</v>
      </c>
      <c r="I83" s="45">
        <f t="shared" si="3"/>
        <v>5241.1099999999997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45" x14ac:dyDescent="0.2">
      <c r="A84" s="63" t="s">
        <v>55</v>
      </c>
      <c r="B84" s="63" t="s">
        <v>56</v>
      </c>
      <c r="C84" s="35" t="s">
        <v>57</v>
      </c>
      <c r="D84" s="35" t="s">
        <v>58</v>
      </c>
      <c r="E84" s="35" t="s">
        <v>59</v>
      </c>
      <c r="F84" s="48"/>
      <c r="G84" s="35" t="s">
        <v>60</v>
      </c>
      <c r="H84" s="35" t="s">
        <v>61</v>
      </c>
      <c r="I84" s="35" t="s">
        <v>62</v>
      </c>
      <c r="J84" s="37"/>
      <c r="K84" s="7"/>
      <c r="L84" s="7"/>
      <c r="M84" s="7"/>
      <c r="N84" s="7"/>
      <c r="O84" s="7"/>
      <c r="P84" s="7"/>
      <c r="Q84" s="7"/>
      <c r="R84" s="4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1:30" x14ac:dyDescent="0.2">
      <c r="A85" s="58" t="s">
        <v>63</v>
      </c>
      <c r="B85" s="59" t="s">
        <v>64</v>
      </c>
      <c r="C85" s="28">
        <f>SUMIFS($E$43:$E$83,$B$43:$B$83,"FDA",$D$43:$D$83,"&lt;&gt;VAGO")</f>
        <v>0</v>
      </c>
      <c r="D85" s="28">
        <f>SUMIFS($E$43:$E$83,$B$43:$B$83,"FDA",$D$43:$D$83,"VAGO")</f>
        <v>0</v>
      </c>
      <c r="E85" s="28">
        <f t="shared" ref="E85:E89" si="4">C85+D85</f>
        <v>0</v>
      </c>
      <c r="F85" s="29"/>
      <c r="G85" s="45">
        <f>SUMIF($B$43:$B$83,"FDA",$G$43:$G$83)</f>
        <v>0</v>
      </c>
      <c r="H85" s="45">
        <f>SUMIF($B$43:$B$83,"FDA",$H$43:$H$83)</f>
        <v>0</v>
      </c>
      <c r="I85" s="45">
        <f>SUMIF($B$43:$B$83,"FDA",$I$43:$I$83)</f>
        <v>0</v>
      </c>
      <c r="J85" s="21"/>
      <c r="K85" s="7"/>
      <c r="L85" s="21"/>
      <c r="M85" s="21"/>
      <c r="N85" s="21"/>
      <c r="O85" s="21"/>
      <c r="P85" s="21"/>
      <c r="Q85" s="21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x14ac:dyDescent="0.2">
      <c r="A86" s="58" t="s">
        <v>65</v>
      </c>
      <c r="B86" s="59" t="s">
        <v>66</v>
      </c>
      <c r="C86" s="28">
        <f>SUMIFS($E$43:$E$83,$B$43:$B$83,"FDA-1",$D$43:$D$83,"&lt;&gt;VAGO")</f>
        <v>6</v>
      </c>
      <c r="D86" s="28">
        <f>SUMIFS($E$43:$E$83,$B$43:$B$83,"FDA-1",$D$43:$D$83,"VAGO")</f>
        <v>0</v>
      </c>
      <c r="E86" s="28">
        <f t="shared" si="4"/>
        <v>6</v>
      </c>
      <c r="F86" s="29"/>
      <c r="G86" s="45">
        <f>SUMIF($B$43:$B$83,"FDA-1",$G$43:$G$83)</f>
        <v>0</v>
      </c>
      <c r="H86" s="45">
        <f>SUMIF($B$43:$B$83,"FDA-1",$H$43:$H$83)</f>
        <v>34221.360000000001</v>
      </c>
      <c r="I86" s="45">
        <f>SUMIF($B$43:$B$83,"FDA-1",$I$43:$I$83)</f>
        <v>34221.360000000001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67</v>
      </c>
      <c r="B87" s="59" t="s">
        <v>68</v>
      </c>
      <c r="C87" s="28">
        <f>SUMIFS($E$43:$E$83,$B$43:$B$83,"FDA-2",$D$43:$D$83,"&lt;&gt;VAGO")</f>
        <v>6</v>
      </c>
      <c r="D87" s="28">
        <f>SUMIFS($E$43:$E$83,$B$43:$B$83,"FDA-2",$D$43:$D$83,"VAGO")</f>
        <v>0</v>
      </c>
      <c r="E87" s="28">
        <f t="shared" si="4"/>
        <v>6</v>
      </c>
      <c r="F87" s="32"/>
      <c r="G87" s="45">
        <f>SUMIF($B$43:$B$83,"FDA-2",$G$43:$G$83)</f>
        <v>33409.46</v>
      </c>
      <c r="H87" s="45">
        <f>SUMIF($B$43:$B$83,"FDA-2",$H$43:$H$83)</f>
        <v>31446.66</v>
      </c>
      <c r="I87" s="45">
        <f>SUMIF($B$43:$B$83,"FDA-2",$I$43:$I$83)</f>
        <v>64856.12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69</v>
      </c>
      <c r="B88" s="59" t="s">
        <v>70</v>
      </c>
      <c r="C88" s="28">
        <f>SUMIFS($E$43:$E$83,$B$43:$B$83,"FDA-3",$D$43:$D$83,"&lt;&gt;VAGO")</f>
        <v>2</v>
      </c>
      <c r="D88" s="28">
        <f>SUMIFS($E$43:$E$83,$B$43:$B$83,"FDA-3",$D$43:$D$83,"VAGO")</f>
        <v>0</v>
      </c>
      <c r="E88" s="28">
        <f t="shared" si="4"/>
        <v>2</v>
      </c>
      <c r="F88" s="34"/>
      <c r="G88" s="45">
        <f>SUMIF($B$43:$B$83,"FDA-3",$G$43:$G$83)</f>
        <v>0</v>
      </c>
      <c r="H88" s="45">
        <f>SUMIF($B$43:$B$83,"FDA-3",$H$43:$H$83)</f>
        <v>8632.42</v>
      </c>
      <c r="I88" s="45">
        <f>SUMIF($B$43:$B$83,"FDA-3",$I$43:$I$83)</f>
        <v>8632.42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71</v>
      </c>
      <c r="B89" s="59" t="s">
        <v>72</v>
      </c>
      <c r="C89" s="28">
        <f>SUMIFS($E$43:$E$83,$B$43:$B$83,"FDA-4",$D$43:$D$83,"&lt;&gt;VAGO")</f>
        <v>26</v>
      </c>
      <c r="D89" s="28">
        <f>SUMIFS($E$43:$E$83,$B$43:$B$83,"FDA-4",$D$43:$D$83,"VAGO")</f>
        <v>1</v>
      </c>
      <c r="E89" s="28">
        <f t="shared" si="4"/>
        <v>27</v>
      </c>
      <c r="F89" s="32"/>
      <c r="G89" s="45">
        <f>SUMIF($B$43:$B$83,"FDA-4",$G$43:$G$83)</f>
        <v>3849.66</v>
      </c>
      <c r="H89" s="45">
        <f>SUMIF($B$43:$B$83,"FDA-4",$H$43:$H$83)</f>
        <v>80158.260000000009</v>
      </c>
      <c r="I89" s="45">
        <f>SUMIF($B$43:$B$83,"FDA-4",$I$43:$I$83)</f>
        <v>84007.920000000013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30" x14ac:dyDescent="0.2">
      <c r="A90" s="63" t="s">
        <v>73</v>
      </c>
      <c r="B90" s="48"/>
      <c r="C90" s="35">
        <f t="shared" ref="C90:E90" si="5">SUM(C86:C89)</f>
        <v>40</v>
      </c>
      <c r="D90" s="35">
        <f t="shared" si="5"/>
        <v>1</v>
      </c>
      <c r="E90" s="35">
        <f t="shared" si="5"/>
        <v>41</v>
      </c>
      <c r="F90" s="48"/>
      <c r="G90" s="51">
        <f t="shared" ref="G90:I90" si="6">SUM(G85:G89)</f>
        <v>37259.119999999995</v>
      </c>
      <c r="H90" s="51">
        <f t="shared" si="6"/>
        <v>154458.70000000001</v>
      </c>
      <c r="I90" s="51">
        <f t="shared" si="6"/>
        <v>191717.82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x14ac:dyDescent="0.2">
      <c r="A91" s="38"/>
      <c r="B91" s="38"/>
      <c r="C91" s="38"/>
      <c r="D91" s="38"/>
      <c r="E91" s="38"/>
      <c r="F91" s="38"/>
      <c r="G91" s="38"/>
      <c r="H91" s="38"/>
      <c r="I91" s="7"/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x14ac:dyDescent="0.2">
      <c r="A92" s="99" t="s">
        <v>74</v>
      </c>
      <c r="B92" s="93"/>
      <c r="C92" s="93"/>
      <c r="D92" s="93"/>
      <c r="E92" s="93"/>
      <c r="F92" s="93"/>
      <c r="G92" s="93"/>
      <c r="H92" s="93"/>
      <c r="I92" s="94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30" x14ac:dyDescent="0.2">
      <c r="A93" s="52" t="s">
        <v>75</v>
      </c>
      <c r="B93" s="10" t="s">
        <v>76</v>
      </c>
      <c r="C93" s="10" t="s">
        <v>77</v>
      </c>
      <c r="D93" s="10" t="s">
        <v>78</v>
      </c>
      <c r="E93" s="10" t="s">
        <v>79</v>
      </c>
      <c r="F93" s="10" t="s">
        <v>80</v>
      </c>
      <c r="G93" s="10" t="s">
        <v>81</v>
      </c>
      <c r="H93" s="10" t="s">
        <v>82</v>
      </c>
      <c r="I93" s="10" t="s">
        <v>83</v>
      </c>
      <c r="J93" s="7"/>
      <c r="K93" s="7"/>
      <c r="L93" s="7"/>
      <c r="M93" s="7"/>
      <c r="N93" s="7"/>
      <c r="O93" s="7"/>
      <c r="P93" s="7"/>
      <c r="Q93" s="7"/>
      <c r="R93" s="40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x14ac:dyDescent="0.2">
      <c r="A94" s="56" t="s">
        <v>340</v>
      </c>
      <c r="B94" s="55" t="s">
        <v>93</v>
      </c>
      <c r="C94" s="55" t="s">
        <v>178</v>
      </c>
      <c r="D94" s="57" t="s">
        <v>181</v>
      </c>
      <c r="E94" s="46">
        <v>1</v>
      </c>
      <c r="F94" s="56" t="s">
        <v>374</v>
      </c>
      <c r="G94" s="44">
        <v>0</v>
      </c>
      <c r="H94" s="44">
        <v>1392.8</v>
      </c>
      <c r="I94" s="45">
        <f t="shared" ref="I94:I197" si="7">SUM(G94:H94)</f>
        <v>1392.8</v>
      </c>
      <c r="J94" s="21"/>
      <c r="K94" s="21"/>
      <c r="L94" s="21"/>
      <c r="M94" s="21"/>
      <c r="N94" s="21"/>
      <c r="O94" s="21"/>
      <c r="P94" s="21"/>
      <c r="Q94" s="21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x14ac:dyDescent="0.2">
      <c r="A95" s="47" t="s">
        <v>341</v>
      </c>
      <c r="B95" s="55" t="s">
        <v>342</v>
      </c>
      <c r="C95" s="57" t="s">
        <v>178</v>
      </c>
      <c r="D95" s="57" t="s">
        <v>199</v>
      </c>
      <c r="E95" s="46">
        <v>1</v>
      </c>
      <c r="F95" s="47" t="s">
        <v>375</v>
      </c>
      <c r="G95" s="44">
        <v>831.13</v>
      </c>
      <c r="H95" s="44">
        <v>849.76</v>
      </c>
      <c r="I95" s="45">
        <f t="shared" si="7"/>
        <v>1680.8899999999999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343</v>
      </c>
      <c r="B96" s="55" t="s">
        <v>101</v>
      </c>
      <c r="C96" s="57" t="s">
        <v>178</v>
      </c>
      <c r="D96" s="57" t="s">
        <v>199</v>
      </c>
      <c r="E96" s="46">
        <v>1</v>
      </c>
      <c r="F96" s="43" t="s">
        <v>376</v>
      </c>
      <c r="G96" s="44">
        <v>831.26</v>
      </c>
      <c r="H96" s="44">
        <v>465.35</v>
      </c>
      <c r="I96" s="45">
        <f t="shared" si="7"/>
        <v>1296.6100000000001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340</v>
      </c>
      <c r="B97" s="55" t="s">
        <v>93</v>
      </c>
      <c r="C97" s="57" t="s">
        <v>223</v>
      </c>
      <c r="D97" s="57" t="s">
        <v>199</v>
      </c>
      <c r="E97" s="46">
        <v>1</v>
      </c>
      <c r="F97" s="43" t="s">
        <v>377</v>
      </c>
      <c r="G97" s="44">
        <v>844.27</v>
      </c>
      <c r="H97" s="44">
        <v>1392.8</v>
      </c>
      <c r="I97" s="45">
        <f t="shared" si="7"/>
        <v>2237.0699999999997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344</v>
      </c>
      <c r="B98" s="55" t="s">
        <v>345</v>
      </c>
      <c r="C98" s="57" t="s">
        <v>223</v>
      </c>
      <c r="D98" s="57" t="s">
        <v>199</v>
      </c>
      <c r="E98" s="46">
        <v>1</v>
      </c>
      <c r="F98" s="43" t="s">
        <v>378</v>
      </c>
      <c r="G98" s="44">
        <v>831.26</v>
      </c>
      <c r="H98" s="44">
        <v>505.81</v>
      </c>
      <c r="I98" s="45">
        <f t="shared" si="7"/>
        <v>1337.07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340</v>
      </c>
      <c r="B99" s="55" t="s">
        <v>93</v>
      </c>
      <c r="C99" s="57" t="s">
        <v>223</v>
      </c>
      <c r="D99" s="57" t="s">
        <v>181</v>
      </c>
      <c r="E99" s="46">
        <v>1</v>
      </c>
      <c r="F99" s="43" t="s">
        <v>379</v>
      </c>
      <c r="G99" s="44">
        <v>0</v>
      </c>
      <c r="H99" s="44">
        <v>1392.8</v>
      </c>
      <c r="I99" s="45">
        <f t="shared" si="7"/>
        <v>1392.8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380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346</v>
      </c>
      <c r="B101" s="55" t="s">
        <v>97</v>
      </c>
      <c r="C101" s="57" t="s">
        <v>347</v>
      </c>
      <c r="D101" s="57" t="s">
        <v>181</v>
      </c>
      <c r="E101" s="46">
        <v>1</v>
      </c>
      <c r="F101" s="43" t="s">
        <v>381</v>
      </c>
      <c r="G101" s="44">
        <v>0</v>
      </c>
      <c r="H101" s="44">
        <v>566.5</v>
      </c>
      <c r="I101" s="45">
        <f t="shared" si="7"/>
        <v>566.5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382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348</v>
      </c>
      <c r="D103" s="57" t="s">
        <v>181</v>
      </c>
      <c r="E103" s="46">
        <v>1</v>
      </c>
      <c r="F103" s="43" t="s">
        <v>383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340</v>
      </c>
      <c r="B104" s="55" t="s">
        <v>93</v>
      </c>
      <c r="C104" s="57" t="s">
        <v>347</v>
      </c>
      <c r="D104" s="57" t="s">
        <v>181</v>
      </c>
      <c r="E104" s="46">
        <v>1</v>
      </c>
      <c r="F104" s="43" t="s">
        <v>384</v>
      </c>
      <c r="G104" s="44">
        <v>0</v>
      </c>
      <c r="H104" s="44">
        <v>1392.8</v>
      </c>
      <c r="I104" s="45">
        <f t="shared" si="7"/>
        <v>1392.8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349</v>
      </c>
      <c r="D105" s="57" t="s">
        <v>181</v>
      </c>
      <c r="E105" s="46">
        <v>1</v>
      </c>
      <c r="F105" s="43" t="s">
        <v>385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231</v>
      </c>
      <c r="D106" s="57" t="s">
        <v>181</v>
      </c>
      <c r="E106" s="46">
        <v>1</v>
      </c>
      <c r="F106" s="43" t="s">
        <v>386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341</v>
      </c>
      <c r="B107" s="55" t="s">
        <v>342</v>
      </c>
      <c r="C107" s="57" t="s">
        <v>350</v>
      </c>
      <c r="D107" s="57" t="s">
        <v>181</v>
      </c>
      <c r="E107" s="46">
        <v>1</v>
      </c>
      <c r="F107" s="43" t="s">
        <v>387</v>
      </c>
      <c r="G107" s="44">
        <v>0</v>
      </c>
      <c r="H107" s="44">
        <v>849.76</v>
      </c>
      <c r="I107" s="45">
        <f t="shared" si="7"/>
        <v>849.76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340</v>
      </c>
      <c r="B108" s="55" t="s">
        <v>93</v>
      </c>
      <c r="C108" s="57" t="s">
        <v>351</v>
      </c>
      <c r="D108" s="57" t="s">
        <v>181</v>
      </c>
      <c r="E108" s="46">
        <v>1</v>
      </c>
      <c r="F108" s="43" t="s">
        <v>388</v>
      </c>
      <c r="G108" s="44">
        <v>0</v>
      </c>
      <c r="H108" s="44">
        <v>1392.8</v>
      </c>
      <c r="I108" s="45">
        <f t="shared" si="7"/>
        <v>1392.8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346</v>
      </c>
      <c r="B109" s="55" t="s">
        <v>97</v>
      </c>
      <c r="C109" s="57" t="s">
        <v>352</v>
      </c>
      <c r="D109" s="57" t="s">
        <v>199</v>
      </c>
      <c r="E109" s="46">
        <v>1</v>
      </c>
      <c r="F109" s="43" t="s">
        <v>389</v>
      </c>
      <c r="G109" s="44">
        <v>852.4</v>
      </c>
      <c r="H109" s="44">
        <v>566.5</v>
      </c>
      <c r="I109" s="45">
        <f t="shared" si="7"/>
        <v>1418.9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340</v>
      </c>
      <c r="B110" s="55" t="s">
        <v>93</v>
      </c>
      <c r="C110" s="57" t="s">
        <v>353</v>
      </c>
      <c r="D110" s="57" t="s">
        <v>199</v>
      </c>
      <c r="E110" s="46">
        <v>1</v>
      </c>
      <c r="F110" s="43" t="s">
        <v>390</v>
      </c>
      <c r="G110" s="44">
        <v>830.46</v>
      </c>
      <c r="H110" s="44">
        <v>1392.8</v>
      </c>
      <c r="I110" s="45">
        <f t="shared" si="7"/>
        <v>2223.2600000000002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346</v>
      </c>
      <c r="B111" s="55" t="s">
        <v>97</v>
      </c>
      <c r="C111" s="57" t="s">
        <v>353</v>
      </c>
      <c r="D111" s="57" t="s">
        <v>199</v>
      </c>
      <c r="E111" s="46">
        <v>1</v>
      </c>
      <c r="F111" s="43" t="s">
        <v>391</v>
      </c>
      <c r="G111" s="44">
        <v>844.27</v>
      </c>
      <c r="H111" s="44">
        <v>566.5</v>
      </c>
      <c r="I111" s="45">
        <f t="shared" si="7"/>
        <v>1410.77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392</v>
      </c>
      <c r="G112" s="44">
        <v>844.13</v>
      </c>
      <c r="H112" s="44">
        <v>566.5</v>
      </c>
      <c r="I112" s="45">
        <f t="shared" si="7"/>
        <v>1410.63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354</v>
      </c>
      <c r="D113" s="57" t="s">
        <v>181</v>
      </c>
      <c r="E113" s="46">
        <v>1</v>
      </c>
      <c r="F113" s="43" t="s">
        <v>393</v>
      </c>
      <c r="G113" s="44">
        <v>0</v>
      </c>
      <c r="H113" s="44">
        <v>566.5</v>
      </c>
      <c r="I113" s="45">
        <f t="shared" si="7"/>
        <v>566.5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355</v>
      </c>
      <c r="D114" s="57" t="s">
        <v>199</v>
      </c>
      <c r="E114" s="46">
        <v>1</v>
      </c>
      <c r="F114" s="43" t="s">
        <v>477</v>
      </c>
      <c r="G114" s="44">
        <v>845.01</v>
      </c>
      <c r="H114" s="44">
        <v>566.5</v>
      </c>
      <c r="I114" s="45">
        <f t="shared" si="7"/>
        <v>1411.51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394</v>
      </c>
      <c r="G115" s="44">
        <v>837.96</v>
      </c>
      <c r="H115" s="44">
        <v>566.5</v>
      </c>
      <c r="I115" s="45">
        <f t="shared" si="7"/>
        <v>1404.46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395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340</v>
      </c>
      <c r="B117" s="55" t="s">
        <v>93</v>
      </c>
      <c r="C117" s="57" t="s">
        <v>356</v>
      </c>
      <c r="D117" s="57" t="s">
        <v>181</v>
      </c>
      <c r="E117" s="46">
        <v>1</v>
      </c>
      <c r="F117" s="43" t="s">
        <v>396</v>
      </c>
      <c r="G117" s="44">
        <v>0</v>
      </c>
      <c r="H117" s="44">
        <v>1392.8</v>
      </c>
      <c r="I117" s="45">
        <f t="shared" si="7"/>
        <v>1392.8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346</v>
      </c>
      <c r="B118" s="55" t="s">
        <v>97</v>
      </c>
      <c r="C118" s="57" t="s">
        <v>356</v>
      </c>
      <c r="D118" s="57" t="s">
        <v>199</v>
      </c>
      <c r="E118" s="46">
        <v>1</v>
      </c>
      <c r="F118" s="43" t="s">
        <v>397</v>
      </c>
      <c r="G118" s="44">
        <v>844.87</v>
      </c>
      <c r="H118" s="44">
        <v>566.5</v>
      </c>
      <c r="I118" s="45">
        <f t="shared" si="7"/>
        <v>1411.37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344</v>
      </c>
      <c r="B119" s="55" t="s">
        <v>345</v>
      </c>
      <c r="C119" s="57" t="s">
        <v>356</v>
      </c>
      <c r="D119" s="57" t="s">
        <v>199</v>
      </c>
      <c r="E119" s="46">
        <v>1</v>
      </c>
      <c r="F119" s="43" t="s">
        <v>398</v>
      </c>
      <c r="G119" s="44">
        <v>852.4</v>
      </c>
      <c r="H119" s="44">
        <v>505.81</v>
      </c>
      <c r="I119" s="45">
        <f t="shared" si="7"/>
        <v>1358.21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340</v>
      </c>
      <c r="B120" s="55" t="s">
        <v>93</v>
      </c>
      <c r="C120" s="57" t="s">
        <v>357</v>
      </c>
      <c r="D120" s="57" t="s">
        <v>181</v>
      </c>
      <c r="E120" s="46">
        <v>1</v>
      </c>
      <c r="F120" s="43" t="s">
        <v>399</v>
      </c>
      <c r="G120" s="44">
        <v>0</v>
      </c>
      <c r="H120" s="44">
        <v>1392.8</v>
      </c>
      <c r="I120" s="45">
        <f t="shared" si="7"/>
        <v>1392.8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346</v>
      </c>
      <c r="B121" s="55" t="s">
        <v>97</v>
      </c>
      <c r="C121" s="57" t="s">
        <v>357</v>
      </c>
      <c r="D121" s="57" t="s">
        <v>199</v>
      </c>
      <c r="E121" s="46">
        <v>1</v>
      </c>
      <c r="F121" s="43" t="s">
        <v>400</v>
      </c>
      <c r="G121" s="44">
        <v>16704.73</v>
      </c>
      <c r="H121" s="44">
        <v>566.5</v>
      </c>
      <c r="I121" s="45">
        <f t="shared" si="7"/>
        <v>17271.23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401</v>
      </c>
      <c r="G122" s="44">
        <v>837.96</v>
      </c>
      <c r="H122" s="44">
        <v>566.5</v>
      </c>
      <c r="I122" s="45">
        <f t="shared" si="7"/>
        <v>1404.46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358</v>
      </c>
      <c r="D123" s="57" t="s">
        <v>199</v>
      </c>
      <c r="E123" s="46">
        <v>1</v>
      </c>
      <c r="F123" s="43" t="s">
        <v>402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181</v>
      </c>
      <c r="E124" s="46">
        <v>1</v>
      </c>
      <c r="F124" s="43" t="s">
        <v>403</v>
      </c>
      <c r="G124" s="44">
        <v>0</v>
      </c>
      <c r="H124" s="44">
        <v>566.5</v>
      </c>
      <c r="I124" s="45">
        <f t="shared" si="7"/>
        <v>566.5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340</v>
      </c>
      <c r="B125" s="55" t="s">
        <v>93</v>
      </c>
      <c r="C125" s="57" t="s">
        <v>359</v>
      </c>
      <c r="D125" s="57" t="s">
        <v>199</v>
      </c>
      <c r="E125" s="46">
        <v>1</v>
      </c>
      <c r="F125" s="43" t="s">
        <v>404</v>
      </c>
      <c r="G125" s="44">
        <v>831.26</v>
      </c>
      <c r="H125" s="44">
        <v>1392.8</v>
      </c>
      <c r="I125" s="45">
        <f t="shared" si="7"/>
        <v>2224.06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405</v>
      </c>
      <c r="G126" s="44">
        <v>1006.04</v>
      </c>
      <c r="H126" s="44">
        <v>1392.8</v>
      </c>
      <c r="I126" s="45">
        <f t="shared" si="7"/>
        <v>2398.84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360</v>
      </c>
      <c r="D127" s="57" t="s">
        <v>199</v>
      </c>
      <c r="E127" s="46">
        <v>1</v>
      </c>
      <c r="F127" s="43" t="s">
        <v>406</v>
      </c>
      <c r="G127" s="44">
        <v>837.96</v>
      </c>
      <c r="H127" s="44">
        <v>1392.8</v>
      </c>
      <c r="I127" s="45">
        <f t="shared" si="7"/>
        <v>2230.7600000000002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346</v>
      </c>
      <c r="B128" s="55" t="s">
        <v>97</v>
      </c>
      <c r="C128" s="57" t="s">
        <v>361</v>
      </c>
      <c r="D128" s="57" t="s">
        <v>181</v>
      </c>
      <c r="E128" s="46">
        <v>1</v>
      </c>
      <c r="F128" s="43" t="s">
        <v>407</v>
      </c>
      <c r="G128" s="44">
        <v>0</v>
      </c>
      <c r="H128" s="44">
        <v>566.5</v>
      </c>
      <c r="I128" s="45">
        <f t="shared" si="7"/>
        <v>566.5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408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340</v>
      </c>
      <c r="B130" s="55" t="s">
        <v>93</v>
      </c>
      <c r="C130" s="57" t="s">
        <v>362</v>
      </c>
      <c r="D130" s="57" t="s">
        <v>181</v>
      </c>
      <c r="E130" s="46">
        <v>1</v>
      </c>
      <c r="F130" s="43" t="s">
        <v>409</v>
      </c>
      <c r="G130" s="44">
        <v>0</v>
      </c>
      <c r="H130" s="44">
        <v>1392.8</v>
      </c>
      <c r="I130" s="45">
        <f t="shared" si="7"/>
        <v>1392.8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248</v>
      </c>
      <c r="D131" s="57" t="s">
        <v>181</v>
      </c>
      <c r="E131" s="46">
        <v>1</v>
      </c>
      <c r="F131" s="43" t="s">
        <v>410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411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346</v>
      </c>
      <c r="B133" s="55" t="s">
        <v>97</v>
      </c>
      <c r="C133" s="57" t="s">
        <v>248</v>
      </c>
      <c r="D133" s="57" t="s">
        <v>199</v>
      </c>
      <c r="E133" s="46">
        <v>1</v>
      </c>
      <c r="F133" s="43" t="s">
        <v>412</v>
      </c>
      <c r="G133" s="44">
        <v>1509.2</v>
      </c>
      <c r="H133" s="44">
        <v>1392.8</v>
      </c>
      <c r="I133" s="45">
        <f t="shared" si="7"/>
        <v>2902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340</v>
      </c>
      <c r="B134" s="55" t="s">
        <v>93</v>
      </c>
      <c r="C134" s="57" t="s">
        <v>248</v>
      </c>
      <c r="D134" s="57" t="s">
        <v>199</v>
      </c>
      <c r="E134" s="46">
        <v>1</v>
      </c>
      <c r="F134" s="43" t="s">
        <v>413</v>
      </c>
      <c r="G134" s="44">
        <v>837.83</v>
      </c>
      <c r="H134" s="44">
        <v>1392.8</v>
      </c>
      <c r="I134" s="45">
        <f t="shared" si="7"/>
        <v>2230.63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194</v>
      </c>
      <c r="D135" s="57" t="s">
        <v>199</v>
      </c>
      <c r="E135" s="46">
        <v>1</v>
      </c>
      <c r="F135" s="43" t="s">
        <v>414</v>
      </c>
      <c r="G135" s="44">
        <v>809.06</v>
      </c>
      <c r="H135" s="44">
        <v>1392.8</v>
      </c>
      <c r="I135" s="45">
        <f t="shared" si="7"/>
        <v>2201.8599999999997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181</v>
      </c>
      <c r="E136" s="46">
        <v>1</v>
      </c>
      <c r="F136" s="43" t="s">
        <v>415</v>
      </c>
      <c r="G136" s="44">
        <v>0</v>
      </c>
      <c r="H136" s="44">
        <v>1392.8</v>
      </c>
      <c r="I136" s="45">
        <f t="shared" si="7"/>
        <v>1392.8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43" t="s">
        <v>416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199</v>
      </c>
      <c r="E138" s="46">
        <v>1</v>
      </c>
      <c r="F138" s="43" t="s">
        <v>417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418</v>
      </c>
      <c r="G139" s="44">
        <v>809.06</v>
      </c>
      <c r="H139" s="44">
        <v>1392.8</v>
      </c>
      <c r="I139" s="45">
        <f t="shared" si="7"/>
        <v>2201.8599999999997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341</v>
      </c>
      <c r="B140" s="55" t="s">
        <v>342</v>
      </c>
      <c r="C140" s="57" t="s">
        <v>194</v>
      </c>
      <c r="D140" s="57" t="s">
        <v>199</v>
      </c>
      <c r="E140" s="46">
        <v>1</v>
      </c>
      <c r="F140" s="43" t="s">
        <v>419</v>
      </c>
      <c r="G140" s="44">
        <v>852.4</v>
      </c>
      <c r="H140" s="44">
        <v>849.76</v>
      </c>
      <c r="I140" s="45">
        <f t="shared" si="7"/>
        <v>1702.1599999999999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478</v>
      </c>
      <c r="G141" s="44">
        <v>1509.2</v>
      </c>
      <c r="H141" s="44">
        <v>849.76</v>
      </c>
      <c r="I141" s="45">
        <f t="shared" si="7"/>
        <v>2358.96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421</v>
      </c>
      <c r="G142" s="44">
        <v>809.06</v>
      </c>
      <c r="H142" s="44">
        <v>849.76</v>
      </c>
      <c r="I142" s="45">
        <f t="shared" si="7"/>
        <v>1658.82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422</v>
      </c>
      <c r="G143" s="44">
        <v>837.26</v>
      </c>
      <c r="H143" s="44">
        <v>849.76</v>
      </c>
      <c r="I143" s="45">
        <f t="shared" si="7"/>
        <v>1687.02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346</v>
      </c>
      <c r="B144" s="55" t="s">
        <v>97</v>
      </c>
      <c r="C144" s="57" t="s">
        <v>194</v>
      </c>
      <c r="D144" s="57" t="s">
        <v>199</v>
      </c>
      <c r="E144" s="46">
        <v>1</v>
      </c>
      <c r="F144" s="43" t="s">
        <v>423</v>
      </c>
      <c r="G144" s="44">
        <v>824.75</v>
      </c>
      <c r="H144" s="44">
        <v>566.5</v>
      </c>
      <c r="I144" s="45">
        <f t="shared" si="7"/>
        <v>1391.25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424</v>
      </c>
      <c r="G145" s="44">
        <v>831.26</v>
      </c>
      <c r="H145" s="44">
        <v>566.5</v>
      </c>
      <c r="I145" s="45">
        <f t="shared" si="7"/>
        <v>1397.76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363</v>
      </c>
      <c r="B146" s="55" t="s">
        <v>342</v>
      </c>
      <c r="C146" s="57" t="s">
        <v>194</v>
      </c>
      <c r="D146" s="57" t="s">
        <v>199</v>
      </c>
      <c r="E146" s="46">
        <v>1</v>
      </c>
      <c r="F146" s="43" t="s">
        <v>425</v>
      </c>
      <c r="G146" s="44">
        <v>1509.2</v>
      </c>
      <c r="H146" s="44">
        <v>849.76</v>
      </c>
      <c r="I146" s="45">
        <f t="shared" si="7"/>
        <v>2358.96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340</v>
      </c>
      <c r="B147" s="55" t="s">
        <v>93</v>
      </c>
      <c r="C147" s="57" t="s">
        <v>254</v>
      </c>
      <c r="D147" s="57" t="s">
        <v>181</v>
      </c>
      <c r="E147" s="46">
        <v>1</v>
      </c>
      <c r="F147" s="43" t="s">
        <v>426</v>
      </c>
      <c r="G147" s="44">
        <v>0</v>
      </c>
      <c r="H147" s="44">
        <v>1392.8</v>
      </c>
      <c r="I147" s="45">
        <f t="shared" si="7"/>
        <v>1392.8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57" t="s">
        <v>181</v>
      </c>
      <c r="E148" s="46">
        <v>1</v>
      </c>
      <c r="F148" s="43" t="s">
        <v>427</v>
      </c>
      <c r="G148" s="44">
        <v>0</v>
      </c>
      <c r="H148" s="44">
        <v>1392.8</v>
      </c>
      <c r="I148" s="45">
        <f t="shared" si="7"/>
        <v>1392.8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364</v>
      </c>
      <c r="D149" s="57" t="s">
        <v>181</v>
      </c>
      <c r="E149" s="46">
        <v>1</v>
      </c>
      <c r="F149" s="43" t="s">
        <v>428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199</v>
      </c>
      <c r="E150" s="46">
        <v>1</v>
      </c>
      <c r="F150" s="43" t="s">
        <v>429</v>
      </c>
      <c r="G150" s="44">
        <v>809.06</v>
      </c>
      <c r="H150" s="44">
        <v>1392.8</v>
      </c>
      <c r="I150" s="45">
        <f t="shared" si="7"/>
        <v>2201.8599999999997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346</v>
      </c>
      <c r="B151" s="55" t="s">
        <v>97</v>
      </c>
      <c r="C151" s="57" t="s">
        <v>364</v>
      </c>
      <c r="D151" s="57" t="s">
        <v>199</v>
      </c>
      <c r="E151" s="46">
        <v>1</v>
      </c>
      <c r="F151" s="43" t="s">
        <v>430</v>
      </c>
      <c r="G151" s="44">
        <v>1509.2</v>
      </c>
      <c r="H151" s="44">
        <v>566.5</v>
      </c>
      <c r="I151" s="45">
        <f t="shared" si="7"/>
        <v>2075.6999999999998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341</v>
      </c>
      <c r="B152" s="55" t="s">
        <v>342</v>
      </c>
      <c r="C152" s="57" t="s">
        <v>364</v>
      </c>
      <c r="D152" s="57" t="s">
        <v>199</v>
      </c>
      <c r="E152" s="46">
        <v>1</v>
      </c>
      <c r="F152" s="43" t="s">
        <v>431</v>
      </c>
      <c r="G152" s="44">
        <v>1509.2</v>
      </c>
      <c r="H152" s="44">
        <v>849.76</v>
      </c>
      <c r="I152" s="45">
        <f t="shared" si="7"/>
        <v>2358.96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346</v>
      </c>
      <c r="B153" s="55" t="s">
        <v>97</v>
      </c>
      <c r="C153" s="57" t="s">
        <v>260</v>
      </c>
      <c r="D153" s="57" t="s">
        <v>181</v>
      </c>
      <c r="E153" s="46">
        <v>1</v>
      </c>
      <c r="F153" s="43" t="s">
        <v>479</v>
      </c>
      <c r="G153" s="44">
        <v>0</v>
      </c>
      <c r="H153" s="44">
        <v>566.5</v>
      </c>
      <c r="I153" s="45">
        <f t="shared" si="7"/>
        <v>566.5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340</v>
      </c>
      <c r="B154" s="55" t="s">
        <v>93</v>
      </c>
      <c r="C154" s="57" t="s">
        <v>260</v>
      </c>
      <c r="D154" s="57" t="s">
        <v>181</v>
      </c>
      <c r="E154" s="46">
        <v>1</v>
      </c>
      <c r="F154" s="43" t="s">
        <v>433</v>
      </c>
      <c r="G154" s="44">
        <v>0</v>
      </c>
      <c r="H154" s="44">
        <v>1392.8</v>
      </c>
      <c r="I154" s="45">
        <f t="shared" si="7"/>
        <v>1392.8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365</v>
      </c>
      <c r="B155" s="55" t="s">
        <v>93</v>
      </c>
      <c r="C155" s="57" t="s">
        <v>260</v>
      </c>
      <c r="D155" s="57" t="s">
        <v>181</v>
      </c>
      <c r="E155" s="46">
        <v>1</v>
      </c>
      <c r="F155" s="43" t="s">
        <v>434</v>
      </c>
      <c r="G155" s="44">
        <v>0</v>
      </c>
      <c r="H155" s="44">
        <v>1392.8</v>
      </c>
      <c r="I155" s="45">
        <f t="shared" si="7"/>
        <v>1392.8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435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341</v>
      </c>
      <c r="B157" s="55" t="s">
        <v>342</v>
      </c>
      <c r="C157" s="57" t="s">
        <v>198</v>
      </c>
      <c r="D157" s="57" t="s">
        <v>199</v>
      </c>
      <c r="E157" s="46">
        <v>1</v>
      </c>
      <c r="F157" s="43" t="s">
        <v>436</v>
      </c>
      <c r="G157" s="44">
        <v>809.06</v>
      </c>
      <c r="H157" s="44">
        <v>849.76</v>
      </c>
      <c r="I157" s="45">
        <f t="shared" si="7"/>
        <v>1658.82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343</v>
      </c>
      <c r="B158" s="55" t="s">
        <v>101</v>
      </c>
      <c r="C158" s="57" t="s">
        <v>198</v>
      </c>
      <c r="D158" s="57" t="s">
        <v>199</v>
      </c>
      <c r="E158" s="46">
        <v>1</v>
      </c>
      <c r="F158" s="43" t="s">
        <v>437</v>
      </c>
      <c r="G158" s="44">
        <v>1509.2</v>
      </c>
      <c r="H158" s="44">
        <v>849.76</v>
      </c>
      <c r="I158" s="45">
        <f t="shared" si="7"/>
        <v>2358.96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340</v>
      </c>
      <c r="B159" s="55" t="s">
        <v>93</v>
      </c>
      <c r="C159" s="57" t="s">
        <v>366</v>
      </c>
      <c r="D159" s="57" t="s">
        <v>181</v>
      </c>
      <c r="E159" s="46">
        <v>1</v>
      </c>
      <c r="F159" s="43" t="s">
        <v>438</v>
      </c>
      <c r="G159" s="44">
        <v>0</v>
      </c>
      <c r="H159" s="44">
        <v>1392.8</v>
      </c>
      <c r="I159" s="45">
        <f t="shared" si="7"/>
        <v>1392.8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199</v>
      </c>
      <c r="E160" s="46">
        <v>1</v>
      </c>
      <c r="F160" s="43" t="s">
        <v>439</v>
      </c>
      <c r="G160" s="44">
        <v>852.4</v>
      </c>
      <c r="H160" s="44">
        <v>1392.8</v>
      </c>
      <c r="I160" s="45">
        <f t="shared" si="7"/>
        <v>2245.1999999999998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341</v>
      </c>
      <c r="B161" s="55" t="s">
        <v>342</v>
      </c>
      <c r="C161" s="57" t="s">
        <v>366</v>
      </c>
      <c r="D161" s="57" t="s">
        <v>199</v>
      </c>
      <c r="E161" s="46">
        <v>1</v>
      </c>
      <c r="F161" s="43" t="s">
        <v>440</v>
      </c>
      <c r="G161" s="44">
        <v>831.26</v>
      </c>
      <c r="H161" s="44">
        <v>849.76</v>
      </c>
      <c r="I161" s="45">
        <f t="shared" si="7"/>
        <v>1681.02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441</v>
      </c>
      <c r="G162" s="44">
        <v>824.11</v>
      </c>
      <c r="H162" s="44">
        <v>849.76</v>
      </c>
      <c r="I162" s="45">
        <f t="shared" si="7"/>
        <v>1673.87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442</v>
      </c>
      <c r="G163" s="44">
        <v>1109.1600000000001</v>
      </c>
      <c r="H163" s="44">
        <v>849.76</v>
      </c>
      <c r="I163" s="45">
        <f t="shared" si="7"/>
        <v>1958.92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443</v>
      </c>
      <c r="G164" s="44">
        <v>811.5</v>
      </c>
      <c r="H164" s="44">
        <v>849.76</v>
      </c>
      <c r="I164" s="45">
        <f t="shared" si="7"/>
        <v>1661.26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444</v>
      </c>
      <c r="G165" s="44">
        <v>831.13</v>
      </c>
      <c r="H165" s="44">
        <v>849.76</v>
      </c>
      <c r="I165" s="45">
        <f t="shared" si="7"/>
        <v>1680.8899999999999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346</v>
      </c>
      <c r="B166" s="55" t="s">
        <v>97</v>
      </c>
      <c r="C166" s="57" t="s">
        <v>366</v>
      </c>
      <c r="D166" s="57" t="s">
        <v>199</v>
      </c>
      <c r="E166" s="46">
        <v>1</v>
      </c>
      <c r="F166" s="43" t="s">
        <v>445</v>
      </c>
      <c r="G166" s="44">
        <v>844.87</v>
      </c>
      <c r="H166" s="44">
        <v>566.5</v>
      </c>
      <c r="I166" s="45">
        <f t="shared" si="7"/>
        <v>1411.37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291</v>
      </c>
      <c r="D167" s="57" t="s">
        <v>199</v>
      </c>
      <c r="E167" s="46">
        <v>1</v>
      </c>
      <c r="F167" s="43" t="s">
        <v>446</v>
      </c>
      <c r="G167" s="44">
        <v>852.4</v>
      </c>
      <c r="H167" s="44">
        <v>566.5</v>
      </c>
      <c r="I167" s="45">
        <f t="shared" si="7"/>
        <v>1418.9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94</v>
      </c>
      <c r="B168" s="55" t="s">
        <v>342</v>
      </c>
      <c r="C168" s="57" t="s">
        <v>291</v>
      </c>
      <c r="D168" s="57" t="s">
        <v>199</v>
      </c>
      <c r="E168" s="46">
        <v>1</v>
      </c>
      <c r="F168" s="43" t="s">
        <v>447</v>
      </c>
      <c r="G168" s="44">
        <v>809.06</v>
      </c>
      <c r="H168" s="44">
        <v>849.76</v>
      </c>
      <c r="I168" s="45">
        <f t="shared" si="7"/>
        <v>1658.82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341</v>
      </c>
      <c r="B169" s="55" t="s">
        <v>342</v>
      </c>
      <c r="C169" s="57" t="s">
        <v>291</v>
      </c>
      <c r="D169" s="57" t="s">
        <v>181</v>
      </c>
      <c r="E169" s="46">
        <v>1</v>
      </c>
      <c r="F169" s="43" t="s">
        <v>448</v>
      </c>
      <c r="G169" s="44">
        <v>0</v>
      </c>
      <c r="H169" s="44">
        <v>849.76</v>
      </c>
      <c r="I169" s="45">
        <f t="shared" si="7"/>
        <v>849.76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340</v>
      </c>
      <c r="B170" s="55" t="s">
        <v>93</v>
      </c>
      <c r="C170" s="57" t="s">
        <v>291</v>
      </c>
      <c r="D170" s="57" t="s">
        <v>199</v>
      </c>
      <c r="E170" s="46">
        <v>1</v>
      </c>
      <c r="F170" s="43" t="s">
        <v>449</v>
      </c>
      <c r="G170" s="44">
        <v>852.4</v>
      </c>
      <c r="H170" s="44">
        <v>1392.8</v>
      </c>
      <c r="I170" s="45">
        <f t="shared" si="7"/>
        <v>2245.1999999999998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450</v>
      </c>
      <c r="G171" s="44">
        <v>844.87</v>
      </c>
      <c r="H171" s="44">
        <v>1392.8</v>
      </c>
      <c r="I171" s="45">
        <f t="shared" si="7"/>
        <v>2237.67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451</v>
      </c>
      <c r="G172" s="44">
        <v>852.4</v>
      </c>
      <c r="H172" s="44">
        <v>1392.8</v>
      </c>
      <c r="I172" s="45">
        <f t="shared" si="7"/>
        <v>2245.1999999999998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346</v>
      </c>
      <c r="B173" s="55" t="s">
        <v>97</v>
      </c>
      <c r="C173" s="57" t="s">
        <v>291</v>
      </c>
      <c r="D173" s="57" t="s">
        <v>199</v>
      </c>
      <c r="E173" s="46">
        <v>1</v>
      </c>
      <c r="F173" s="43" t="s">
        <v>452</v>
      </c>
      <c r="G173" s="44">
        <v>852.4</v>
      </c>
      <c r="H173" s="44">
        <v>566.5</v>
      </c>
      <c r="I173" s="45">
        <f t="shared" si="7"/>
        <v>1418.9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344</v>
      </c>
      <c r="B174" s="55" t="s">
        <v>345</v>
      </c>
      <c r="C174" s="57" t="s">
        <v>291</v>
      </c>
      <c r="D174" s="57" t="s">
        <v>199</v>
      </c>
      <c r="E174" s="46">
        <v>1</v>
      </c>
      <c r="F174" s="43" t="s">
        <v>453</v>
      </c>
      <c r="G174" s="44">
        <v>1509.2</v>
      </c>
      <c r="H174" s="44">
        <v>505.81</v>
      </c>
      <c r="I174" s="45">
        <f t="shared" si="7"/>
        <v>2015.01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367</v>
      </c>
      <c r="B175" s="55" t="s">
        <v>103</v>
      </c>
      <c r="C175" s="57" t="s">
        <v>291</v>
      </c>
      <c r="D175" s="57" t="s">
        <v>199</v>
      </c>
      <c r="E175" s="46">
        <v>1</v>
      </c>
      <c r="F175" s="43" t="s">
        <v>454</v>
      </c>
      <c r="G175" s="44">
        <v>1509.2</v>
      </c>
      <c r="H175" s="44">
        <v>364.17</v>
      </c>
      <c r="I175" s="45">
        <f t="shared" si="7"/>
        <v>1873.3700000000001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340</v>
      </c>
      <c r="B176" s="55" t="s">
        <v>93</v>
      </c>
      <c r="C176" s="57" t="s">
        <v>203</v>
      </c>
      <c r="D176" s="57" t="s">
        <v>181</v>
      </c>
      <c r="E176" s="46">
        <v>1</v>
      </c>
      <c r="F176" s="43" t="s">
        <v>455</v>
      </c>
      <c r="G176" s="44">
        <v>0</v>
      </c>
      <c r="H176" s="44">
        <v>1392.8</v>
      </c>
      <c r="I176" s="45">
        <f t="shared" si="7"/>
        <v>1392.8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456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199</v>
      </c>
      <c r="E178" s="46">
        <v>1</v>
      </c>
      <c r="F178" s="43" t="s">
        <v>457</v>
      </c>
      <c r="G178" s="44">
        <v>1509.2</v>
      </c>
      <c r="H178" s="44">
        <v>1392.8</v>
      </c>
      <c r="I178" s="45">
        <f t="shared" si="7"/>
        <v>2902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346</v>
      </c>
      <c r="B179" s="55" t="s">
        <v>97</v>
      </c>
      <c r="C179" s="57" t="s">
        <v>295</v>
      </c>
      <c r="D179" s="57" t="s">
        <v>199</v>
      </c>
      <c r="E179" s="46">
        <v>1</v>
      </c>
      <c r="F179" s="43" t="s">
        <v>458</v>
      </c>
      <c r="G179" s="44">
        <v>844.87</v>
      </c>
      <c r="H179" s="44">
        <v>566.5</v>
      </c>
      <c r="I179" s="45">
        <f t="shared" si="7"/>
        <v>1411.37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341</v>
      </c>
      <c r="B180" s="55" t="s">
        <v>342</v>
      </c>
      <c r="C180" s="57" t="s">
        <v>295</v>
      </c>
      <c r="D180" s="57" t="s">
        <v>199</v>
      </c>
      <c r="E180" s="46">
        <v>1</v>
      </c>
      <c r="F180" s="43" t="s">
        <v>459</v>
      </c>
      <c r="G180" s="44">
        <v>1509.2</v>
      </c>
      <c r="H180" s="44">
        <v>849.76</v>
      </c>
      <c r="I180" s="45">
        <f t="shared" si="7"/>
        <v>2358.96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299</v>
      </c>
      <c r="D181" s="57" t="s">
        <v>199</v>
      </c>
      <c r="E181" s="46">
        <v>1</v>
      </c>
      <c r="F181" s="43" t="s">
        <v>460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368</v>
      </c>
      <c r="D182" s="57" t="s">
        <v>199</v>
      </c>
      <c r="E182" s="46">
        <v>1</v>
      </c>
      <c r="F182" s="43" t="s">
        <v>461</v>
      </c>
      <c r="G182" s="44">
        <v>987.85</v>
      </c>
      <c r="H182" s="44">
        <v>849.76</v>
      </c>
      <c r="I182" s="45">
        <f t="shared" si="7"/>
        <v>1837.6100000000001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344</v>
      </c>
      <c r="B183" s="55" t="s">
        <v>345</v>
      </c>
      <c r="C183" s="57" t="s">
        <v>368</v>
      </c>
      <c r="D183" s="57" t="s">
        <v>199</v>
      </c>
      <c r="E183" s="46">
        <v>1</v>
      </c>
      <c r="F183" s="43" t="s">
        <v>462</v>
      </c>
      <c r="G183" s="44">
        <v>990.49</v>
      </c>
      <c r="H183" s="44">
        <v>505.81</v>
      </c>
      <c r="I183" s="45">
        <f t="shared" si="7"/>
        <v>1496.3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463</v>
      </c>
      <c r="G184" s="44">
        <v>987.85</v>
      </c>
      <c r="H184" s="44">
        <v>505.81</v>
      </c>
      <c r="I184" s="45">
        <f t="shared" si="7"/>
        <v>1493.66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346</v>
      </c>
      <c r="B185" s="55" t="s">
        <v>97</v>
      </c>
      <c r="C185" s="57" t="s">
        <v>368</v>
      </c>
      <c r="D185" s="57" t="s">
        <v>199</v>
      </c>
      <c r="E185" s="46">
        <v>1</v>
      </c>
      <c r="F185" s="43" t="s">
        <v>464</v>
      </c>
      <c r="G185" s="44">
        <v>974.09</v>
      </c>
      <c r="H185" s="44">
        <v>566.5</v>
      </c>
      <c r="I185" s="45">
        <f t="shared" si="7"/>
        <v>1540.5900000000001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369</v>
      </c>
      <c r="D186" s="57" t="s">
        <v>199</v>
      </c>
      <c r="E186" s="46">
        <v>1</v>
      </c>
      <c r="F186" s="43" t="s">
        <v>465</v>
      </c>
      <c r="G186" s="44">
        <v>852.4</v>
      </c>
      <c r="H186" s="44">
        <v>566.5</v>
      </c>
      <c r="I186" s="45">
        <f t="shared" si="7"/>
        <v>1418.9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341</v>
      </c>
      <c r="B187" s="55" t="s">
        <v>342</v>
      </c>
      <c r="C187" s="57" t="s">
        <v>370</v>
      </c>
      <c r="D187" s="57" t="s">
        <v>199</v>
      </c>
      <c r="E187" s="46">
        <v>1</v>
      </c>
      <c r="F187" s="43" t="s">
        <v>466</v>
      </c>
      <c r="G187" s="44">
        <v>835.87</v>
      </c>
      <c r="H187" s="44">
        <v>849.76</v>
      </c>
      <c r="I187" s="45">
        <f t="shared" si="7"/>
        <v>1685.63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346</v>
      </c>
      <c r="B188" s="55" t="s">
        <v>97</v>
      </c>
      <c r="C188" s="57" t="s">
        <v>370</v>
      </c>
      <c r="D188" s="57" t="s">
        <v>181</v>
      </c>
      <c r="E188" s="46">
        <v>1</v>
      </c>
      <c r="F188" s="43" t="s">
        <v>467</v>
      </c>
      <c r="G188" s="44">
        <v>0</v>
      </c>
      <c r="H188" s="44">
        <v>566.5</v>
      </c>
      <c r="I188" s="45">
        <f t="shared" si="7"/>
        <v>566.5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371</v>
      </c>
      <c r="D189" s="57" t="s">
        <v>199</v>
      </c>
      <c r="E189" s="46">
        <v>1</v>
      </c>
      <c r="F189" s="43" t="s">
        <v>468</v>
      </c>
      <c r="G189" s="44">
        <v>965.59</v>
      </c>
      <c r="H189" s="44">
        <v>566.5</v>
      </c>
      <c r="I189" s="45">
        <f t="shared" si="7"/>
        <v>1532.0900000000001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372</v>
      </c>
      <c r="D190" s="57" t="s">
        <v>199</v>
      </c>
      <c r="E190" s="46">
        <v>1</v>
      </c>
      <c r="F190" s="43" t="s">
        <v>469</v>
      </c>
      <c r="G190" s="44">
        <v>853.96</v>
      </c>
      <c r="H190" s="44">
        <v>566.5</v>
      </c>
      <c r="I190" s="45">
        <f t="shared" si="7"/>
        <v>1420.46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56" t="s">
        <v>340</v>
      </c>
      <c r="B191" s="55" t="s">
        <v>93</v>
      </c>
      <c r="C191" s="55" t="s">
        <v>373</v>
      </c>
      <c r="D191" s="57" t="s">
        <v>181</v>
      </c>
      <c r="E191" s="46">
        <v>1</v>
      </c>
      <c r="F191" s="47" t="s">
        <v>470</v>
      </c>
      <c r="G191" s="44">
        <v>0</v>
      </c>
      <c r="H191" s="44">
        <v>1392.8</v>
      </c>
      <c r="I191" s="45">
        <f t="shared" si="7"/>
        <v>1392.8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365</v>
      </c>
      <c r="B192" s="55" t="s">
        <v>93</v>
      </c>
      <c r="C192" s="55" t="s">
        <v>373</v>
      </c>
      <c r="D192" s="57" t="s">
        <v>199</v>
      </c>
      <c r="E192" s="46">
        <v>1</v>
      </c>
      <c r="F192" s="56" t="s">
        <v>471</v>
      </c>
      <c r="G192" s="44">
        <v>837.26</v>
      </c>
      <c r="H192" s="44">
        <v>1392.8</v>
      </c>
      <c r="I192" s="45">
        <f t="shared" si="7"/>
        <v>2230.06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340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472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365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473</v>
      </c>
      <c r="G194" s="44">
        <v>844.13</v>
      </c>
      <c r="H194" s="44">
        <v>1392.8</v>
      </c>
      <c r="I194" s="45">
        <f t="shared" si="7"/>
        <v>2236.9299999999998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346</v>
      </c>
      <c r="B195" s="55" t="s">
        <v>97</v>
      </c>
      <c r="C195" s="55" t="s">
        <v>373</v>
      </c>
      <c r="D195" s="57" t="s">
        <v>181</v>
      </c>
      <c r="E195" s="46">
        <v>1</v>
      </c>
      <c r="F195" s="56" t="s">
        <v>474</v>
      </c>
      <c r="G195" s="44">
        <v>0</v>
      </c>
      <c r="H195" s="44">
        <v>566.5</v>
      </c>
      <c r="I195" s="45">
        <f t="shared" si="7"/>
        <v>566.5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365</v>
      </c>
      <c r="B196" s="55" t="s">
        <v>93</v>
      </c>
      <c r="C196" s="55" t="s">
        <v>373</v>
      </c>
      <c r="D196" s="57" t="s">
        <v>199</v>
      </c>
      <c r="E196" s="46">
        <v>1</v>
      </c>
      <c r="F196" s="56" t="s">
        <v>475</v>
      </c>
      <c r="G196" s="44">
        <v>830.46</v>
      </c>
      <c r="H196" s="44">
        <v>1392.8</v>
      </c>
      <c r="I196" s="45">
        <f t="shared" si="7"/>
        <v>2223.2600000000002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476</v>
      </c>
      <c r="G197" s="44">
        <v>837.13</v>
      </c>
      <c r="H197" s="44">
        <v>1392.8</v>
      </c>
      <c r="I197" s="45">
        <f t="shared" si="7"/>
        <v>2229.9299999999998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45" x14ac:dyDescent="0.2">
      <c r="A198" s="63" t="s">
        <v>84</v>
      </c>
      <c r="B198" s="63" t="s">
        <v>85</v>
      </c>
      <c r="C198" s="35" t="s">
        <v>86</v>
      </c>
      <c r="D198" s="35" t="s">
        <v>87</v>
      </c>
      <c r="E198" s="35" t="s">
        <v>88</v>
      </c>
      <c r="F198" s="48"/>
      <c r="G198" s="35" t="s">
        <v>89</v>
      </c>
      <c r="H198" s="35" t="s">
        <v>90</v>
      </c>
      <c r="I198" s="35" t="s">
        <v>91</v>
      </c>
      <c r="J198" s="21"/>
      <c r="K198" s="21"/>
      <c r="L198" s="21"/>
      <c r="M198" s="21"/>
      <c r="N198" s="21"/>
      <c r="O198" s="21"/>
      <c r="P198" s="21"/>
      <c r="Q198" s="21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 spans="1:30" x14ac:dyDescent="0.2">
      <c r="A199" s="58" t="s">
        <v>92</v>
      </c>
      <c r="B199" s="59" t="s">
        <v>93</v>
      </c>
      <c r="C199" s="28">
        <f>SUMIFS($E$94:$E$197,$B$94:$B$197,"FGS-1",$D$94:$D$197,"&lt;&gt;VAGO")</f>
        <v>44</v>
      </c>
      <c r="D199" s="28">
        <f>SUMIFS($E$94:$E$197,$B$94:$B$197,"FGS-1",$D$94:$D$197,"VAGO")</f>
        <v>0</v>
      </c>
      <c r="E199" s="28">
        <f t="shared" ref="E199:E204" si="8">C199+D199</f>
        <v>44</v>
      </c>
      <c r="F199" s="29"/>
      <c r="G199" s="45">
        <f>SUMIF($B$94:$B$197,"FGS-1",$G$94:$G$197)</f>
        <v>18221.71</v>
      </c>
      <c r="H199" s="45">
        <f>SUMIF($B$94:$B$197,"FGS-1",$H$94:$H$197)</f>
        <v>61283.200000000048</v>
      </c>
      <c r="I199" s="71">
        <f>SUMIF($B$94:$B$197,"FGS-1",$I$94:$I$197)</f>
        <v>79504.91</v>
      </c>
      <c r="J199" s="21"/>
      <c r="K199" s="21"/>
      <c r="L199" s="21"/>
      <c r="M199" s="21"/>
      <c r="N199" s="21"/>
      <c r="O199" s="21"/>
      <c r="P199" s="21"/>
      <c r="Q199" s="21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spans="1:30" x14ac:dyDescent="0.2">
      <c r="A200" s="58" t="s">
        <v>94</v>
      </c>
      <c r="B200" s="59" t="s">
        <v>95</v>
      </c>
      <c r="C200" s="28">
        <f>SUMIFS($E$94:$E$197,$B$94:$B$197,"FGS-2",$D$94:$D$197,"&lt;&gt;VAGO")</f>
        <v>20</v>
      </c>
      <c r="D200" s="28">
        <f>SUMIFS($E$94:$E$197,$B$94:$B$197,"FGS-2",$D$94:$D$197,"VAGO")</f>
        <v>0</v>
      </c>
      <c r="E200" s="28">
        <f t="shared" si="8"/>
        <v>20</v>
      </c>
      <c r="F200" s="32"/>
      <c r="G200" s="45">
        <f>SUMIF($B$94:$B$197,"FGS-2",$G$94:$G$197)</f>
        <v>18724.849999999999</v>
      </c>
      <c r="H200" s="45">
        <f>SUMIF($B$94:$B$197,"FGS-2",$H$94:$H$197)</f>
        <v>16995.2</v>
      </c>
      <c r="I200" s="71">
        <f>SUMIF($B$94:$B$197,"FGS-2",$I$94:$I$197)</f>
        <v>35720.049999999988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96</v>
      </c>
      <c r="B201" s="59" t="s">
        <v>97</v>
      </c>
      <c r="C201" s="28">
        <f>SUMIFS($E$94:$E$197,$B$94:$B$197,"FGS-3",$D$94:$D$197,"&lt;&gt;VAGO")</f>
        <v>32</v>
      </c>
      <c r="D201" s="28">
        <f>SUMIFS($E$94:$E$197,$B$94:$B$197,"FGS-3",$D$94:$D$197,"VAGO")</f>
        <v>0</v>
      </c>
      <c r="E201" s="28">
        <f t="shared" si="8"/>
        <v>32</v>
      </c>
      <c r="F201" s="32"/>
      <c r="G201" s="45">
        <f>SUMIF($B$94:$B$197,"FGS-3",$G$94:$G$197)</f>
        <v>36002.239999999998</v>
      </c>
      <c r="H201" s="45">
        <f>SUMIF($B$94:$B$197,"FGS-3",$H$94:$H$197)</f>
        <v>18954.3</v>
      </c>
      <c r="I201" s="71">
        <f>SUMIF($B$94:$B$197,"FGS-3",$I$94:$I$197)</f>
        <v>54956.540000000015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60" t="s">
        <v>98</v>
      </c>
      <c r="B202" s="61" t="s">
        <v>99</v>
      </c>
      <c r="C202" s="28">
        <f>SUMIFS($E$94:$E$197,$B$94:$B$197,"FGA-1",$D$94:$D$197,"&lt;&gt;VAGO")</f>
        <v>5</v>
      </c>
      <c r="D202" s="28">
        <f>SUMIFS($E$94:$E$197,$B$94:$B$197,"FGA-1",$D$94:$D$197,"VAGO")</f>
        <v>0</v>
      </c>
      <c r="E202" s="28">
        <f t="shared" si="8"/>
        <v>5</v>
      </c>
      <c r="F202" s="34"/>
      <c r="G202" s="45">
        <f>SUMIF($B$94:$B$197,"FGA-1",$G$94:$G$197)</f>
        <v>5171.2</v>
      </c>
      <c r="H202" s="45">
        <f>SUMIF($B$94:$B$197,"FGA-1",$H$94:$H$197)</f>
        <v>2529.0500000000002</v>
      </c>
      <c r="I202" s="71">
        <f>SUMIF($B$94:$B$197,"FGA-1",$I$94:$I$197)</f>
        <v>7700.25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58" t="s">
        <v>100</v>
      </c>
      <c r="B203" s="59" t="s">
        <v>101</v>
      </c>
      <c r="C203" s="28">
        <f>SUMIFS($E$94:$E$197,$B$94:$B$197,"FGA-2",$D$94:$D$197,"&lt;&gt;VAGO")</f>
        <v>2</v>
      </c>
      <c r="D203" s="28">
        <f>SUMIFS($E$94:$E$197,$B$94:$B$197,"FGA-2",$D$94:$D$197,"VAGO")</f>
        <v>0</v>
      </c>
      <c r="E203" s="28">
        <f t="shared" si="8"/>
        <v>2</v>
      </c>
      <c r="F203" s="34"/>
      <c r="G203" s="45">
        <f>SUMIF($B$94:$B$197,"FGA-2",$G$94:$G$197)</f>
        <v>2340.46</v>
      </c>
      <c r="H203" s="45">
        <f>SUMIF($B$94:$B$197,"FGA-2",$H$94:$H$197)</f>
        <v>1315.1100000000001</v>
      </c>
      <c r="I203" s="71">
        <f>SUMIF($B$94:$B$197,"FGA-2",$I$94:$I$197)</f>
        <v>3655.57</v>
      </c>
      <c r="J203" s="21"/>
      <c r="K203" s="21"/>
      <c r="L203" s="21"/>
      <c r="M203" s="21"/>
      <c r="N203" s="21"/>
      <c r="O203" s="21"/>
      <c r="P203" s="21"/>
      <c r="Q203" s="21"/>
      <c r="R203" s="40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102</v>
      </c>
      <c r="B204" s="59" t="s">
        <v>103</v>
      </c>
      <c r="C204" s="28">
        <f>SUMIFS($E$94:$E$197,$B$94:$B$197,"FGA-3",$D$94:$D$197,"&lt;&gt;VAGO")</f>
        <v>1</v>
      </c>
      <c r="D204" s="28">
        <f>SUMIFS($E$94:$E$197,$B$94:$B$197,"FGA-3",$D$94:$D$197,"VAGO")</f>
        <v>0</v>
      </c>
      <c r="E204" s="28">
        <f t="shared" si="8"/>
        <v>1</v>
      </c>
      <c r="F204" s="32"/>
      <c r="G204" s="45">
        <f>SUMIF($B$94:$B$197,"FGA-3",$G$94:$G$197)</f>
        <v>1509.2</v>
      </c>
      <c r="H204" s="45">
        <f>SUMIF($B$94:$B$197,"FGA-3",$H$94:$H$197)</f>
        <v>364.17</v>
      </c>
      <c r="I204" s="71">
        <f>SUMIF($B$94:$B$197,"FGA-3",$I$94:$I$197)</f>
        <v>1873.3700000000001</v>
      </c>
      <c r="J204" s="21"/>
      <c r="K204" s="21"/>
      <c r="L204" s="21"/>
      <c r="M204" s="21"/>
      <c r="N204" s="21"/>
      <c r="O204" s="21"/>
      <c r="P204" s="21"/>
      <c r="Q204" s="21"/>
      <c r="R204" s="49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 spans="1:30" ht="30" x14ac:dyDescent="0.2">
      <c r="A205" s="63" t="s">
        <v>104</v>
      </c>
      <c r="B205" s="48"/>
      <c r="C205" s="35">
        <f t="shared" ref="C205:E205" si="9">SUM(C199:C204)</f>
        <v>104</v>
      </c>
      <c r="D205" s="35">
        <f t="shared" si="9"/>
        <v>0</v>
      </c>
      <c r="E205" s="35">
        <f t="shared" si="9"/>
        <v>104</v>
      </c>
      <c r="F205" s="48"/>
      <c r="G205" s="51">
        <f t="shared" ref="G205:I205" si="10">SUM(G199:G204)</f>
        <v>81969.659999999989</v>
      </c>
      <c r="H205" s="51">
        <f t="shared" si="10"/>
        <v>101441.03000000006</v>
      </c>
      <c r="I205" s="51">
        <f t="shared" si="10"/>
        <v>183410.69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x14ac:dyDescent="0.2">
      <c r="A206" s="37"/>
      <c r="B206" s="37"/>
      <c r="C206" s="37"/>
      <c r="D206" s="37"/>
      <c r="E206" s="37"/>
      <c r="F206" s="37"/>
      <c r="G206" s="37"/>
      <c r="H206" s="37"/>
      <c r="I206" s="62"/>
      <c r="J206" s="62"/>
      <c r="K206" s="7"/>
      <c r="L206" s="62"/>
      <c r="M206" s="62"/>
      <c r="N206" s="62"/>
      <c r="O206" s="62"/>
      <c r="P206" s="62"/>
      <c r="Q206" s="62"/>
      <c r="R206" s="40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spans="1:30" ht="45" x14ac:dyDescent="0.2">
      <c r="A207" s="63"/>
      <c r="B207" s="63"/>
      <c r="C207" s="35" t="s">
        <v>105</v>
      </c>
      <c r="D207" s="35" t="s">
        <v>106</v>
      </c>
      <c r="E207" s="35" t="s">
        <v>107</v>
      </c>
      <c r="F207" s="25"/>
      <c r="G207" s="35" t="s">
        <v>108</v>
      </c>
      <c r="H207" s="35" t="s">
        <v>109</v>
      </c>
      <c r="I207" s="35" t="s">
        <v>110</v>
      </c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30" x14ac:dyDescent="0.2">
      <c r="A208" s="63" t="s">
        <v>111</v>
      </c>
      <c r="B208" s="25"/>
      <c r="C208" s="35">
        <f>SUM(C39+C90+C205)</f>
        <v>152</v>
      </c>
      <c r="D208" s="35">
        <f>SUM(D39+D90+D205)</f>
        <v>13</v>
      </c>
      <c r="E208" s="35">
        <f>SUM(E39+E90+E205)</f>
        <v>165</v>
      </c>
      <c r="F208" s="25"/>
      <c r="G208" s="51">
        <f>SUM(H39+G90+G205)</f>
        <v>145270.37999999998</v>
      </c>
      <c r="H208" s="51">
        <f>SUM(I39+H90+H205)</f>
        <v>289884.74000000011</v>
      </c>
      <c r="I208" s="51">
        <f>SUM(J39+I90+I205)</f>
        <v>453155.12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x14ac:dyDescent="0.2">
      <c r="A209" s="37"/>
      <c r="B209" s="37"/>
      <c r="C209" s="37"/>
      <c r="D209" s="37"/>
      <c r="E209" s="37"/>
      <c r="F209" s="37"/>
      <c r="G209" s="37"/>
      <c r="H209" s="37"/>
      <c r="I209" s="62"/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x14ac:dyDescent="0.2">
      <c r="A210" s="100" t="s">
        <v>112</v>
      </c>
      <c r="B210" s="93"/>
      <c r="C210" s="93"/>
      <c r="D210" s="93"/>
      <c r="E210" s="93"/>
      <c r="F210" s="94"/>
      <c r="G210" s="21"/>
      <c r="H210" s="37"/>
      <c r="I210" s="37"/>
      <c r="J210" s="37"/>
      <c r="K210" s="21"/>
      <c r="L210" s="37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ht="15" customHeight="1" x14ac:dyDescent="0.2">
      <c r="A211" s="101" t="s">
        <v>113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37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482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2" t="s">
        <v>483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481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480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x14ac:dyDescent="0.2">
      <c r="A216" s="103"/>
      <c r="B216" s="96"/>
      <c r="C216" s="96"/>
      <c r="D216" s="96"/>
      <c r="E216" s="96"/>
      <c r="F216" s="96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0" t="s">
        <v>114</v>
      </c>
      <c r="B217" s="93"/>
      <c r="C217" s="93"/>
      <c r="D217" s="93"/>
      <c r="E217" s="93"/>
      <c r="F217" s="94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4" t="s">
        <v>115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92" t="s">
        <v>116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117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118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119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120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121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122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123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124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125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126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127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128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129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130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131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132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133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134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135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136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137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138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64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</row>
    <row r="242" spans="1:30" x14ac:dyDescent="0.2">
      <c r="A242" s="92" t="s">
        <v>139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140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141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142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143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144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145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146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147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148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149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150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151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152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153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154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155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ht="14.25" x14ac:dyDescent="0.2">
      <c r="A259" s="92" t="s">
        <v>156</v>
      </c>
      <c r="B259" s="93"/>
      <c r="C259" s="93"/>
      <c r="D259" s="93"/>
      <c r="E259" s="93"/>
      <c r="F259" s="94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157</v>
      </c>
      <c r="B260" s="93"/>
      <c r="C260" s="93"/>
      <c r="D260" s="93"/>
      <c r="E260" s="93"/>
      <c r="F260" s="94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158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159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160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161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162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163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164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165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166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167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168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169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170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171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172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173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174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175</v>
      </c>
      <c r="B278" s="93"/>
      <c r="C278" s="93"/>
      <c r="D278" s="93"/>
      <c r="E278" s="93"/>
      <c r="F278" s="94"/>
      <c r="G278" s="68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/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</sheetData>
  <mergeCells count="76">
    <mergeCell ref="A274:F274"/>
    <mergeCell ref="A275:F275"/>
    <mergeCell ref="A276:F276"/>
    <mergeCell ref="A277:F277"/>
    <mergeCell ref="A278:F278"/>
    <mergeCell ref="A273:F273"/>
    <mergeCell ref="A262:F262"/>
    <mergeCell ref="A263:F263"/>
    <mergeCell ref="A264:F264"/>
    <mergeCell ref="A265:F265"/>
    <mergeCell ref="A266:F266"/>
    <mergeCell ref="A267:F267"/>
    <mergeCell ref="A268:F268"/>
    <mergeCell ref="A269:F269"/>
    <mergeCell ref="A270:F270"/>
    <mergeCell ref="A271:F271"/>
    <mergeCell ref="A272:F272"/>
    <mergeCell ref="A261:F261"/>
    <mergeCell ref="A250:F250"/>
    <mergeCell ref="A251:F251"/>
    <mergeCell ref="A252:F252"/>
    <mergeCell ref="A253:F253"/>
    <mergeCell ref="A254:F254"/>
    <mergeCell ref="A255:F255"/>
    <mergeCell ref="A256:F256"/>
    <mergeCell ref="A257:F257"/>
    <mergeCell ref="A258:F258"/>
    <mergeCell ref="A259:F259"/>
    <mergeCell ref="A260:F260"/>
    <mergeCell ref="A249:F249"/>
    <mergeCell ref="A238:F238"/>
    <mergeCell ref="A239:F239"/>
    <mergeCell ref="A240:F240"/>
    <mergeCell ref="A241:F241"/>
    <mergeCell ref="A242:F242"/>
    <mergeCell ref="A243:F243"/>
    <mergeCell ref="A244:F244"/>
    <mergeCell ref="A245:F245"/>
    <mergeCell ref="A246:F246"/>
    <mergeCell ref="A247:F247"/>
    <mergeCell ref="A248:F248"/>
    <mergeCell ref="A237:F237"/>
    <mergeCell ref="A226:F226"/>
    <mergeCell ref="A227:F227"/>
    <mergeCell ref="A228:F228"/>
    <mergeCell ref="A229:F229"/>
    <mergeCell ref="A230:F230"/>
    <mergeCell ref="A231:F231"/>
    <mergeCell ref="A232:F232"/>
    <mergeCell ref="A233:F233"/>
    <mergeCell ref="A234:F234"/>
    <mergeCell ref="A235:F235"/>
    <mergeCell ref="A236:F236"/>
    <mergeCell ref="A214:F214"/>
    <mergeCell ref="A215:F215"/>
    <mergeCell ref="A225:F225"/>
    <mergeCell ref="A216:F216"/>
    <mergeCell ref="A217:F217"/>
    <mergeCell ref="A218:F218"/>
    <mergeCell ref="A219:F219"/>
    <mergeCell ref="A220:F220"/>
    <mergeCell ref="A221:F221"/>
    <mergeCell ref="A222:F222"/>
    <mergeCell ref="A223:F223"/>
    <mergeCell ref="A224:F224"/>
    <mergeCell ref="A92:I92"/>
    <mergeCell ref="A210:F210"/>
    <mergeCell ref="A211:F211"/>
    <mergeCell ref="A212:F212"/>
    <mergeCell ref="A213:F213"/>
    <mergeCell ref="A41:I41"/>
    <mergeCell ref="A1:J1"/>
    <mergeCell ref="A2:J2"/>
    <mergeCell ref="A3:J3"/>
    <mergeCell ref="B4:J4"/>
    <mergeCell ref="A5:J5"/>
  </mergeCells>
  <dataValidations count="4">
    <dataValidation type="list" allowBlank="1" sqref="B94:B197">
      <formula1>"FGS-1,FGS-2,FGS-3,FGA-1,FGA-2,FGA-3"</formula1>
    </dataValidation>
    <dataValidation type="list" allowBlank="1" sqref="D7:D26 D43:D83 D94:D197">
      <formula1>"AGP,CLH,CLT,COM,CTD,CTI,DES,DISP,ELE,ESG,EST,EXM,EXQ,EXR,FRQ,REV,VAGO"</formula1>
    </dataValidation>
    <dataValidation type="list" allowBlank="1" sqref="B43:B83">
      <formula1>"FDA,FDA-1,FDA-2,FDA-3,FDA-4"</formula1>
    </dataValidation>
    <dataValidation type="list" allowBlank="1" sqref="B7:B26">
      <formula1>"DAS,DAS-1,DAS-2,DAS-3,DAS-4,DAS-5,CAA-1,CAA-2,CAA-3,CAA-4,CAA-5"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8"/>
  <sheetViews>
    <sheetView zoomScale="102" zoomScaleNormal="102" workbookViewId="0">
      <selection activeCell="C6" sqref="C6"/>
    </sheetView>
  </sheetViews>
  <sheetFormatPr defaultColWidth="12.625" defaultRowHeight="15" customHeight="1" x14ac:dyDescent="0.2"/>
  <cols>
    <col min="1" max="1" width="69.75" style="70" bestFit="1" customWidth="1"/>
    <col min="2" max="2" width="9.75" style="70" bestFit="1" customWidth="1"/>
    <col min="3" max="3" width="24" style="70" bestFit="1" customWidth="1"/>
    <col min="4" max="4" width="12.25" style="70" bestFit="1" customWidth="1"/>
    <col min="5" max="5" width="9.25" style="70" bestFit="1" customWidth="1"/>
    <col min="6" max="6" width="44.125" style="70" bestFit="1" customWidth="1"/>
    <col min="7" max="7" width="17.5" style="70" bestFit="1" customWidth="1"/>
    <col min="8" max="8" width="17.875" style="70" bestFit="1" customWidth="1"/>
    <col min="9" max="9" width="17.875" style="70" customWidth="1"/>
    <col min="10" max="10" width="11.75" style="70" bestFit="1" customWidth="1"/>
    <col min="11" max="16" width="8" style="70" customWidth="1"/>
    <col min="17" max="17" width="43.875" style="70" customWidth="1"/>
    <col min="18" max="30" width="8" style="70" customWidth="1"/>
    <col min="31" max="16384" width="12.625" style="70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485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47" t="s">
        <v>180</v>
      </c>
      <c r="B8" s="57" t="s">
        <v>29</v>
      </c>
      <c r="C8" s="57" t="s">
        <v>178</v>
      </c>
      <c r="D8" s="57" t="s">
        <v>181</v>
      </c>
      <c r="E8" s="46">
        <v>1</v>
      </c>
      <c r="F8" s="47" t="s">
        <v>212</v>
      </c>
      <c r="G8" s="44">
        <v>0</v>
      </c>
      <c r="H8" s="44">
        <v>0</v>
      </c>
      <c r="I8" s="44">
        <v>5703.56</v>
      </c>
      <c r="J8" s="45">
        <f t="shared" si="0"/>
        <v>5703.56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72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182</v>
      </c>
      <c r="B11" s="57" t="s">
        <v>41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184</v>
      </c>
      <c r="B12" s="57" t="s">
        <v>43</v>
      </c>
      <c r="C12" s="57" t="s">
        <v>178</v>
      </c>
      <c r="D12" s="57" t="s">
        <v>183</v>
      </c>
      <c r="E12" s="46">
        <v>1</v>
      </c>
      <c r="F12" s="47" t="s">
        <v>183</v>
      </c>
      <c r="G12" s="44">
        <v>0</v>
      </c>
      <c r="H12" s="44">
        <v>0</v>
      </c>
      <c r="I12" s="44">
        <v>0</v>
      </c>
      <c r="J12" s="45">
        <f t="shared" si="0"/>
        <v>0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185</v>
      </c>
      <c r="B13" s="57" t="s">
        <v>33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186</v>
      </c>
      <c r="B14" s="57" t="s">
        <v>39</v>
      </c>
      <c r="C14" s="57" t="s">
        <v>178</v>
      </c>
      <c r="D14" s="57" t="s">
        <v>183</v>
      </c>
      <c r="E14" s="46">
        <v>1</v>
      </c>
      <c r="F14" s="47" t="s">
        <v>183</v>
      </c>
      <c r="G14" s="44">
        <v>0</v>
      </c>
      <c r="H14" s="44">
        <v>0</v>
      </c>
      <c r="I14" s="44">
        <v>0</v>
      </c>
      <c r="J14" s="45">
        <f t="shared" si="0"/>
        <v>0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187</v>
      </c>
      <c r="B15" s="57" t="s">
        <v>37</v>
      </c>
      <c r="C15" s="57" t="s">
        <v>178</v>
      </c>
      <c r="D15" s="57" t="s">
        <v>188</v>
      </c>
      <c r="E15" s="46">
        <v>1</v>
      </c>
      <c r="F15" s="47" t="s">
        <v>213</v>
      </c>
      <c r="G15" s="44">
        <v>0</v>
      </c>
      <c r="H15" s="44">
        <v>0</v>
      </c>
      <c r="I15" s="44">
        <v>3083.01</v>
      </c>
      <c r="J15" s="45">
        <f t="shared" si="0"/>
        <v>3083.01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189</v>
      </c>
      <c r="B16" s="57" t="s">
        <v>39</v>
      </c>
      <c r="C16" s="57" t="s">
        <v>190</v>
      </c>
      <c r="D16" s="57" t="s">
        <v>183</v>
      </c>
      <c r="E16" s="46">
        <v>1</v>
      </c>
      <c r="F16" s="47" t="s">
        <v>183</v>
      </c>
      <c r="G16" s="44">
        <v>0</v>
      </c>
      <c r="H16" s="44">
        <v>0</v>
      </c>
      <c r="I16" s="44">
        <v>0</v>
      </c>
      <c r="J16" s="45">
        <f t="shared" si="0"/>
        <v>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47" t="s">
        <v>191</v>
      </c>
      <c r="B17" s="57" t="s">
        <v>25</v>
      </c>
      <c r="C17" s="57" t="s">
        <v>192</v>
      </c>
      <c r="D17" s="57" t="s">
        <v>181</v>
      </c>
      <c r="E17" s="46">
        <v>1</v>
      </c>
      <c r="F17" s="47" t="s">
        <v>214</v>
      </c>
      <c r="G17" s="44">
        <v>0</v>
      </c>
      <c r="H17" s="44">
        <v>0</v>
      </c>
      <c r="I17" s="44">
        <v>10400</v>
      </c>
      <c r="J17" s="45">
        <f t="shared" si="0"/>
        <v>10400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57" t="s">
        <v>188</v>
      </c>
      <c r="E19" s="46">
        <v>1</v>
      </c>
      <c r="F19" s="47" t="s">
        <v>486</v>
      </c>
      <c r="G19" s="44">
        <v>0</v>
      </c>
      <c r="H19" s="44">
        <v>0</v>
      </c>
      <c r="I19" s="44">
        <v>4316.21</v>
      </c>
      <c r="J19" s="45">
        <f t="shared" si="0"/>
        <v>4316.21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183</v>
      </c>
      <c r="E21" s="46">
        <v>1</v>
      </c>
      <c r="F21" s="47" t="s">
        <v>183</v>
      </c>
      <c r="G21" s="44">
        <v>0</v>
      </c>
      <c r="H21" s="44">
        <v>0</v>
      </c>
      <c r="I21" s="44">
        <v>0</v>
      </c>
      <c r="J21" s="45">
        <f t="shared" si="0"/>
        <v>0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183</v>
      </c>
      <c r="E22" s="46">
        <v>1</v>
      </c>
      <c r="F22" s="47" t="s">
        <v>183</v>
      </c>
      <c r="G22" s="44">
        <v>0</v>
      </c>
      <c r="H22" s="44">
        <v>0</v>
      </c>
      <c r="I22" s="44">
        <v>0</v>
      </c>
      <c r="J22" s="45">
        <f t="shared" si="0"/>
        <v>0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57" t="s">
        <v>181</v>
      </c>
      <c r="E23" s="46">
        <v>1</v>
      </c>
      <c r="F23" s="47" t="s">
        <v>217</v>
      </c>
      <c r="G23" s="44">
        <v>0</v>
      </c>
      <c r="H23" s="44">
        <v>0</v>
      </c>
      <c r="I23" s="44">
        <v>3083.01</v>
      </c>
      <c r="J23" s="45">
        <f t="shared" si="0"/>
        <v>3083.01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183</v>
      </c>
      <c r="E26" s="46">
        <v>1</v>
      </c>
      <c r="F26" s="47" t="s">
        <v>183</v>
      </c>
      <c r="G26" s="44">
        <v>0</v>
      </c>
      <c r="H26" s="44">
        <v>0</v>
      </c>
      <c r="I26" s="44">
        <v>0</v>
      </c>
      <c r="J26" s="45">
        <f t="shared" si="0"/>
        <v>0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1</v>
      </c>
      <c r="D29" s="28">
        <f>SUMIFS($E$7:$E$26,$B$7:$B$26,"DAS-1",$D$7:$D$26,"VAGO")</f>
        <v>0</v>
      </c>
      <c r="E29" s="28">
        <f t="shared" si="1"/>
        <v>1</v>
      </c>
      <c r="F29" s="32"/>
      <c r="G29" s="30">
        <f>SUMIF($B$7:$B$26,"DAS-1",$G$7:$G$26)</f>
        <v>0</v>
      </c>
      <c r="H29" s="30">
        <f>SUMIF($B$7:$B$26,"DAS-1",$H$7:$H$26)</f>
        <v>0</v>
      </c>
      <c r="I29" s="30">
        <f>SUMIF($B$7:$B$26,"DAS-1",$I$7:$I$26)</f>
        <v>10400</v>
      </c>
      <c r="J29" s="30">
        <f>SUMIF($B$7:$B$26,"DAS-1",$J$7:$J$26)</f>
        <v>10400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1</v>
      </c>
      <c r="D31" s="28">
        <f>SUMIFS($E$7:$E$26,$B$7:$B$26,"DAS-3",$D$7:$D$26,"VAGO")</f>
        <v>0</v>
      </c>
      <c r="E31" s="28">
        <f t="shared" si="1"/>
        <v>1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5703.56</v>
      </c>
      <c r="J31" s="30">
        <f>SUMIF($B$7:$B$26,"DAS-3",$J$7:$J$26)</f>
        <v>5703.56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0</v>
      </c>
      <c r="D32" s="28">
        <f>SUMIFS($E$7:$E$26,$B$7:$B$26,"DAS-4",$D$7:$D$26,"VAGO")</f>
        <v>1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0</v>
      </c>
      <c r="I32" s="30">
        <f>SUMIF($B$7:$B$26,"DAS-4",$I$7:$I$26)</f>
        <v>0</v>
      </c>
      <c r="J32" s="30">
        <f>SUMIF($B$7:$B$26,"DAS-4",$J$7:$J$26)</f>
        <v>0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3</v>
      </c>
      <c r="D33" s="28">
        <f>SUMIFS($E$7:$E$26,$B$7:$B$26,"DAS-5",$D$7:$D$26,"VAGO")</f>
        <v>2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1109.1600000000001</v>
      </c>
      <c r="I33" s="30">
        <f>SUMIF($B$7:$B$26,"DAS-5",$I$7:$I$26)</f>
        <v>12948.630000000001</v>
      </c>
      <c r="J33" s="30">
        <f>SUMIF($B$7:$B$26,"DAS-5",$J$7:$J$26)</f>
        <v>14057.79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3</v>
      </c>
      <c r="D35" s="28">
        <f>SUMIFS($E$7:$E$26,$B$7:$B$26,"CAA-2",$D$7:$D$26,"VAGO")</f>
        <v>2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24932.44</v>
      </c>
      <c r="I35" s="30">
        <f>SUMIF($B$7:$B$26,"CAA-2",$I$7:$I$26)</f>
        <v>9249.0300000000007</v>
      </c>
      <c r="J35" s="30">
        <f>SUMIF($B$7:$B$26,"CAA-2",$J$7:$J$26)</f>
        <v>34181.47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9</v>
      </c>
      <c r="D39" s="35">
        <f>SUM(D28:D38)</f>
        <v>11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26041.599999999999</v>
      </c>
      <c r="I39" s="36">
        <f t="shared" si="2"/>
        <v>38301.22</v>
      </c>
      <c r="J39" s="36">
        <f t="shared" si="2"/>
        <v>82342.820000000007</v>
      </c>
      <c r="K39" s="37"/>
      <c r="L39" s="37"/>
      <c r="M39" s="37"/>
      <c r="N39" s="37"/>
      <c r="O39" s="37"/>
      <c r="P39" s="37"/>
      <c r="Q39" s="37"/>
    </row>
    <row r="40" spans="1:30" ht="45.75" customHeight="1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3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222</v>
      </c>
      <c r="B44" s="42" t="s">
        <v>68</v>
      </c>
      <c r="C44" s="57" t="s">
        <v>223</v>
      </c>
      <c r="D44" s="57" t="s">
        <v>199</v>
      </c>
      <c r="E44" s="46">
        <v>1</v>
      </c>
      <c r="F44" s="43" t="s">
        <v>301</v>
      </c>
      <c r="G44" s="44">
        <v>16704.73</v>
      </c>
      <c r="H44" s="44">
        <v>5241.1099999999997</v>
      </c>
      <c r="I44" s="45">
        <f t="shared" si="3"/>
        <v>21945.84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47" t="s">
        <v>224</v>
      </c>
      <c r="B45" s="42" t="s">
        <v>72</v>
      </c>
      <c r="C45" s="57" t="s">
        <v>225</v>
      </c>
      <c r="D45" s="57" t="s">
        <v>181</v>
      </c>
      <c r="E45" s="46">
        <v>1</v>
      </c>
      <c r="F45" s="47" t="s">
        <v>302</v>
      </c>
      <c r="G45" s="44">
        <v>0</v>
      </c>
      <c r="H45" s="44">
        <v>3083.01</v>
      </c>
      <c r="I45" s="45">
        <f t="shared" si="3"/>
        <v>3083.01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226</v>
      </c>
      <c r="B46" s="42" t="s">
        <v>66</v>
      </c>
      <c r="C46" s="57" t="s">
        <v>227</v>
      </c>
      <c r="D46" s="57" t="s">
        <v>181</v>
      </c>
      <c r="E46" s="46">
        <v>1</v>
      </c>
      <c r="F46" s="47" t="s">
        <v>303</v>
      </c>
      <c r="G46" s="44">
        <v>0</v>
      </c>
      <c r="H46" s="44">
        <v>5703.56</v>
      </c>
      <c r="I46" s="45">
        <f t="shared" si="3"/>
        <v>5703.56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228</v>
      </c>
      <c r="B47" s="42" t="s">
        <v>72</v>
      </c>
      <c r="C47" s="57" t="s">
        <v>229</v>
      </c>
      <c r="D47" s="57" t="s">
        <v>181</v>
      </c>
      <c r="E47" s="46">
        <v>1</v>
      </c>
      <c r="F47" s="47" t="s">
        <v>304</v>
      </c>
      <c r="G47" s="44">
        <v>0</v>
      </c>
      <c r="H47" s="44">
        <v>3083.01</v>
      </c>
      <c r="I47" s="45">
        <f t="shared" si="3"/>
        <v>3083.01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230</v>
      </c>
      <c r="B48" s="42" t="s">
        <v>68</v>
      </c>
      <c r="C48" s="57" t="s">
        <v>231</v>
      </c>
      <c r="D48" s="57" t="s">
        <v>199</v>
      </c>
      <c r="E48" s="46">
        <v>1</v>
      </c>
      <c r="F48" s="47" t="s">
        <v>305</v>
      </c>
      <c r="G48" s="44">
        <v>16704.73</v>
      </c>
      <c r="H48" s="44">
        <v>5241.1099999999997</v>
      </c>
      <c r="I48" s="45">
        <f t="shared" si="3"/>
        <v>21945.84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232</v>
      </c>
      <c r="B49" s="42" t="s">
        <v>68</v>
      </c>
      <c r="C49" s="57" t="s">
        <v>233</v>
      </c>
      <c r="D49" s="57" t="s">
        <v>181</v>
      </c>
      <c r="E49" s="46">
        <v>1</v>
      </c>
      <c r="F49" s="47" t="s">
        <v>306</v>
      </c>
      <c r="G49" s="44">
        <v>0</v>
      </c>
      <c r="H49" s="44">
        <v>5241.1099999999997</v>
      </c>
      <c r="I49" s="45">
        <f t="shared" si="3"/>
        <v>5241.1099999999997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234</v>
      </c>
      <c r="B50" s="42" t="s">
        <v>68</v>
      </c>
      <c r="C50" s="57" t="s">
        <v>223</v>
      </c>
      <c r="D50" s="57" t="s">
        <v>181</v>
      </c>
      <c r="E50" s="46">
        <v>1</v>
      </c>
      <c r="F50" s="47" t="s">
        <v>307</v>
      </c>
      <c r="G50" s="44">
        <v>0</v>
      </c>
      <c r="H50" s="44">
        <v>1222.92</v>
      </c>
      <c r="I50" s="45">
        <f t="shared" si="3"/>
        <v>1222.92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235</v>
      </c>
      <c r="B51" s="42" t="s">
        <v>66</v>
      </c>
      <c r="C51" s="57" t="s">
        <v>236</v>
      </c>
      <c r="D51" s="57" t="s">
        <v>181</v>
      </c>
      <c r="E51" s="46">
        <v>1</v>
      </c>
      <c r="F51" s="47" t="s">
        <v>308</v>
      </c>
      <c r="G51" s="44">
        <v>0</v>
      </c>
      <c r="H51" s="44">
        <v>5703.56</v>
      </c>
      <c r="I51" s="45">
        <f t="shared" si="3"/>
        <v>5703.56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237</v>
      </c>
      <c r="B52" s="42" t="s">
        <v>72</v>
      </c>
      <c r="C52" s="57" t="s">
        <v>238</v>
      </c>
      <c r="D52" s="57" t="s">
        <v>181</v>
      </c>
      <c r="E52" s="46">
        <v>1</v>
      </c>
      <c r="F52" s="47" t="s">
        <v>309</v>
      </c>
      <c r="G52" s="44">
        <v>0</v>
      </c>
      <c r="H52" s="44">
        <v>3083.01</v>
      </c>
      <c r="I52" s="45">
        <f t="shared" si="3"/>
        <v>3083.01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239</v>
      </c>
      <c r="B53" s="42" t="s">
        <v>72</v>
      </c>
      <c r="C53" s="57" t="s">
        <v>240</v>
      </c>
      <c r="D53" s="57" t="s">
        <v>181</v>
      </c>
      <c r="E53" s="46">
        <v>1</v>
      </c>
      <c r="F53" s="47" t="s">
        <v>310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241</v>
      </c>
      <c r="B54" s="42" t="s">
        <v>72</v>
      </c>
      <c r="C54" s="57" t="s">
        <v>242</v>
      </c>
      <c r="D54" s="57" t="s">
        <v>181</v>
      </c>
      <c r="E54" s="46">
        <v>1</v>
      </c>
      <c r="F54" s="47" t="s">
        <v>311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243</v>
      </c>
      <c r="B55" s="42" t="s">
        <v>72</v>
      </c>
      <c r="C55" s="57" t="s">
        <v>244</v>
      </c>
      <c r="D55" s="57" t="s">
        <v>181</v>
      </c>
      <c r="E55" s="46">
        <v>1</v>
      </c>
      <c r="F55" s="47" t="s">
        <v>312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245</v>
      </c>
      <c r="B56" s="42" t="s">
        <v>72</v>
      </c>
      <c r="C56" s="57" t="s">
        <v>246</v>
      </c>
      <c r="D56" s="57" t="s">
        <v>181</v>
      </c>
      <c r="E56" s="46">
        <v>1</v>
      </c>
      <c r="F56" s="47" t="s">
        <v>313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247</v>
      </c>
      <c r="B57" s="42" t="s">
        <v>66</v>
      </c>
      <c r="C57" s="57" t="s">
        <v>248</v>
      </c>
      <c r="D57" s="57" t="s">
        <v>181</v>
      </c>
      <c r="E57" s="46">
        <v>1</v>
      </c>
      <c r="F57" s="47" t="s">
        <v>314</v>
      </c>
      <c r="G57" s="44">
        <v>0</v>
      </c>
      <c r="H57" s="44">
        <v>5703.56</v>
      </c>
      <c r="I57" s="45">
        <f t="shared" si="3"/>
        <v>5703.56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249</v>
      </c>
      <c r="B58" s="42" t="s">
        <v>72</v>
      </c>
      <c r="C58" s="57" t="s">
        <v>250</v>
      </c>
      <c r="D58" s="57" t="s">
        <v>181</v>
      </c>
      <c r="E58" s="46">
        <v>1</v>
      </c>
      <c r="F58" s="47" t="s">
        <v>315</v>
      </c>
      <c r="G58" s="44">
        <v>0</v>
      </c>
      <c r="H58" s="44">
        <v>3083.01</v>
      </c>
      <c r="I58" s="45">
        <f t="shared" si="3"/>
        <v>3083.01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251</v>
      </c>
      <c r="B59" s="42" t="s">
        <v>72</v>
      </c>
      <c r="C59" s="57" t="s">
        <v>252</v>
      </c>
      <c r="D59" s="57" t="s">
        <v>199</v>
      </c>
      <c r="E59" s="46">
        <v>1</v>
      </c>
      <c r="F59" s="47" t="s">
        <v>316</v>
      </c>
      <c r="G59" s="44">
        <v>831.26</v>
      </c>
      <c r="H59" s="44">
        <v>3083.01</v>
      </c>
      <c r="I59" s="45">
        <f t="shared" si="3"/>
        <v>3914.2700000000004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253</v>
      </c>
      <c r="B60" s="42" t="s">
        <v>70</v>
      </c>
      <c r="C60" s="57" t="s">
        <v>254</v>
      </c>
      <c r="D60" s="57" t="s">
        <v>181</v>
      </c>
      <c r="E60" s="46">
        <v>1</v>
      </c>
      <c r="F60" s="47" t="s">
        <v>317</v>
      </c>
      <c r="G60" s="44">
        <v>0</v>
      </c>
      <c r="H60" s="44">
        <v>4316.21</v>
      </c>
      <c r="I60" s="45">
        <f t="shared" si="3"/>
        <v>4316.21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255</v>
      </c>
      <c r="B61" s="42" t="s">
        <v>72</v>
      </c>
      <c r="C61" s="57" t="s">
        <v>256</v>
      </c>
      <c r="D61" s="57" t="s">
        <v>181</v>
      </c>
      <c r="E61" s="46">
        <v>1</v>
      </c>
      <c r="F61" s="47" t="s">
        <v>318</v>
      </c>
      <c r="G61" s="44">
        <v>0</v>
      </c>
      <c r="H61" s="44">
        <v>3083.01</v>
      </c>
      <c r="I61" s="45">
        <f t="shared" si="3"/>
        <v>3083.01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257</v>
      </c>
      <c r="B62" s="42" t="s">
        <v>72</v>
      </c>
      <c r="C62" s="57" t="s">
        <v>258</v>
      </c>
      <c r="D62" s="57" t="s">
        <v>181</v>
      </c>
      <c r="E62" s="46">
        <v>1</v>
      </c>
      <c r="F62" s="47" t="s">
        <v>319</v>
      </c>
      <c r="G62" s="44">
        <v>0</v>
      </c>
      <c r="H62" s="44">
        <v>3083.01</v>
      </c>
      <c r="I62" s="45">
        <f t="shared" si="3"/>
        <v>3083.01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259</v>
      </c>
      <c r="B63" s="42" t="s">
        <v>66</v>
      </c>
      <c r="C63" s="57" t="s">
        <v>260</v>
      </c>
      <c r="D63" s="57" t="s">
        <v>181</v>
      </c>
      <c r="E63" s="46">
        <v>1</v>
      </c>
      <c r="F63" s="47" t="s">
        <v>320</v>
      </c>
      <c r="G63" s="44">
        <v>0</v>
      </c>
      <c r="H63" s="44">
        <v>5703.56</v>
      </c>
      <c r="I63" s="45">
        <f t="shared" si="3"/>
        <v>5703.56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261</v>
      </c>
      <c r="B64" s="42" t="s">
        <v>72</v>
      </c>
      <c r="C64" s="57" t="s">
        <v>262</v>
      </c>
      <c r="D64" s="57" t="s">
        <v>181</v>
      </c>
      <c r="E64" s="46">
        <v>1</v>
      </c>
      <c r="F64" s="47" t="s">
        <v>321</v>
      </c>
      <c r="G64" s="44">
        <v>0</v>
      </c>
      <c r="H64" s="44">
        <v>3083.01</v>
      </c>
      <c r="I64" s="45">
        <f t="shared" si="3"/>
        <v>3083.01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263</v>
      </c>
      <c r="B65" s="42" t="s">
        <v>72</v>
      </c>
      <c r="C65" s="57" t="s">
        <v>264</v>
      </c>
      <c r="D65" s="57" t="s">
        <v>181</v>
      </c>
      <c r="E65" s="46">
        <v>1</v>
      </c>
      <c r="F65" s="47" t="s">
        <v>322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265</v>
      </c>
      <c r="B66" s="42" t="s">
        <v>72</v>
      </c>
      <c r="C66" s="57" t="s">
        <v>266</v>
      </c>
      <c r="D66" s="57" t="s">
        <v>181</v>
      </c>
      <c r="E66" s="46">
        <v>1</v>
      </c>
      <c r="F66" s="47" t="s">
        <v>323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267</v>
      </c>
      <c r="B67" s="42" t="s">
        <v>72</v>
      </c>
      <c r="C67" s="57" t="s">
        <v>268</v>
      </c>
      <c r="D67" s="57" t="s">
        <v>181</v>
      </c>
      <c r="E67" s="46">
        <v>1</v>
      </c>
      <c r="F67" s="47" t="s">
        <v>324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269</v>
      </c>
      <c r="B68" s="42" t="s">
        <v>72</v>
      </c>
      <c r="C68" s="57" t="s">
        <v>270</v>
      </c>
      <c r="D68" s="57" t="s">
        <v>181</v>
      </c>
      <c r="E68" s="46">
        <v>1</v>
      </c>
      <c r="F68" s="47" t="s">
        <v>325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271</v>
      </c>
      <c r="B69" s="42" t="s">
        <v>72</v>
      </c>
      <c r="C69" s="57" t="s">
        <v>272</v>
      </c>
      <c r="D69" s="57" t="s">
        <v>181</v>
      </c>
      <c r="E69" s="46">
        <v>1</v>
      </c>
      <c r="F69" s="47" t="s">
        <v>326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273</v>
      </c>
      <c r="B70" s="42" t="s">
        <v>72</v>
      </c>
      <c r="C70" s="57" t="s">
        <v>274</v>
      </c>
      <c r="D70" s="57" t="s">
        <v>181</v>
      </c>
      <c r="E70" s="46">
        <v>1</v>
      </c>
      <c r="F70" s="47" t="s">
        <v>327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275</v>
      </c>
      <c r="B71" s="42" t="s">
        <v>72</v>
      </c>
      <c r="C71" s="57" t="s">
        <v>260</v>
      </c>
      <c r="D71" s="57" t="s">
        <v>181</v>
      </c>
      <c r="E71" s="46">
        <v>1</v>
      </c>
      <c r="F71" s="47" t="s">
        <v>328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276</v>
      </c>
      <c r="B72" s="42" t="s">
        <v>72</v>
      </c>
      <c r="C72" s="57" t="s">
        <v>277</v>
      </c>
      <c r="D72" s="57" t="s">
        <v>181</v>
      </c>
      <c r="E72" s="46">
        <v>1</v>
      </c>
      <c r="F72" s="47" t="s">
        <v>329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278</v>
      </c>
      <c r="B73" s="42" t="s">
        <v>72</v>
      </c>
      <c r="C73" s="57" t="s">
        <v>279</v>
      </c>
      <c r="D73" s="57" t="s">
        <v>181</v>
      </c>
      <c r="E73" s="46">
        <v>1</v>
      </c>
      <c r="F73" s="47" t="s">
        <v>330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280</v>
      </c>
      <c r="B74" s="42" t="s">
        <v>66</v>
      </c>
      <c r="C74" s="57" t="s">
        <v>281</v>
      </c>
      <c r="D74" s="57" t="s">
        <v>181</v>
      </c>
      <c r="E74" s="46">
        <v>1</v>
      </c>
      <c r="F74" s="47" t="s">
        <v>331</v>
      </c>
      <c r="G74" s="44">
        <v>0</v>
      </c>
      <c r="H74" s="44">
        <v>5703.56</v>
      </c>
      <c r="I74" s="45">
        <f t="shared" si="3"/>
        <v>5703.56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282</v>
      </c>
      <c r="B75" s="42" t="s">
        <v>72</v>
      </c>
      <c r="C75" s="57" t="s">
        <v>283</v>
      </c>
      <c r="D75" s="57" t="s">
        <v>181</v>
      </c>
      <c r="E75" s="46">
        <v>1</v>
      </c>
      <c r="F75" s="47" t="s">
        <v>332</v>
      </c>
      <c r="G75" s="44">
        <v>0</v>
      </c>
      <c r="H75" s="44">
        <v>3083.01</v>
      </c>
      <c r="I75" s="45">
        <f t="shared" si="3"/>
        <v>3083.01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284</v>
      </c>
      <c r="B76" s="42" t="s">
        <v>72</v>
      </c>
      <c r="C76" s="57" t="s">
        <v>285</v>
      </c>
      <c r="D76" s="57" t="s">
        <v>181</v>
      </c>
      <c r="E76" s="46">
        <v>1</v>
      </c>
      <c r="F76" s="47" t="s">
        <v>333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286</v>
      </c>
      <c r="B77" s="42" t="s">
        <v>72</v>
      </c>
      <c r="C77" s="57" t="s">
        <v>287</v>
      </c>
      <c r="D77" s="57" t="s">
        <v>181</v>
      </c>
      <c r="E77" s="46">
        <v>1</v>
      </c>
      <c r="F77" s="47" t="s">
        <v>334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288</v>
      </c>
      <c r="B78" s="42" t="s">
        <v>70</v>
      </c>
      <c r="C78" s="57" t="s">
        <v>289</v>
      </c>
      <c r="D78" s="57" t="s">
        <v>181</v>
      </c>
      <c r="E78" s="46">
        <v>1</v>
      </c>
      <c r="F78" s="47" t="s">
        <v>335</v>
      </c>
      <c r="G78" s="44">
        <v>0</v>
      </c>
      <c r="H78" s="44">
        <v>4316.21</v>
      </c>
      <c r="I78" s="45">
        <f t="shared" si="3"/>
        <v>4316.21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290</v>
      </c>
      <c r="B79" s="42" t="s">
        <v>66</v>
      </c>
      <c r="C79" s="57" t="s">
        <v>291</v>
      </c>
      <c r="D79" s="57" t="s">
        <v>181</v>
      </c>
      <c r="E79" s="46">
        <v>1</v>
      </c>
      <c r="F79" s="47" t="s">
        <v>336</v>
      </c>
      <c r="G79" s="44">
        <v>0</v>
      </c>
      <c r="H79" s="44">
        <v>5703.56</v>
      </c>
      <c r="I79" s="45">
        <f t="shared" si="3"/>
        <v>5703.56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292</v>
      </c>
      <c r="B80" s="42" t="s">
        <v>72</v>
      </c>
      <c r="C80" s="57" t="s">
        <v>293</v>
      </c>
      <c r="D80" s="57" t="s">
        <v>199</v>
      </c>
      <c r="E80" s="46">
        <v>1</v>
      </c>
      <c r="F80" s="47" t="s">
        <v>337</v>
      </c>
      <c r="G80" s="44">
        <v>1509.2</v>
      </c>
      <c r="H80" s="44">
        <v>3083.01</v>
      </c>
      <c r="I80" s="45">
        <f t="shared" si="3"/>
        <v>4592.21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294</v>
      </c>
      <c r="B81" s="42" t="s">
        <v>72</v>
      </c>
      <c r="C81" s="57" t="s">
        <v>295</v>
      </c>
      <c r="D81" s="57" t="s">
        <v>183</v>
      </c>
      <c r="E81" s="46">
        <v>1</v>
      </c>
      <c r="F81" s="47" t="s">
        <v>183</v>
      </c>
      <c r="G81" s="44">
        <v>0</v>
      </c>
      <c r="H81" s="44">
        <v>0</v>
      </c>
      <c r="I81" s="45">
        <f t="shared" si="3"/>
        <v>0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296</v>
      </c>
      <c r="B82" s="42" t="s">
        <v>72</v>
      </c>
      <c r="C82" s="57" t="s">
        <v>297</v>
      </c>
      <c r="D82" s="57" t="s">
        <v>199</v>
      </c>
      <c r="E82" s="46">
        <v>1</v>
      </c>
      <c r="F82" s="47" t="s">
        <v>338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298</v>
      </c>
      <c r="B83" s="42" t="s">
        <v>68</v>
      </c>
      <c r="C83" s="57" t="s">
        <v>299</v>
      </c>
      <c r="D83" s="57" t="s">
        <v>181</v>
      </c>
      <c r="E83" s="46">
        <v>1</v>
      </c>
      <c r="F83" s="47" t="s">
        <v>339</v>
      </c>
      <c r="G83" s="44">
        <v>0</v>
      </c>
      <c r="H83" s="44">
        <v>5241.1099999999997</v>
      </c>
      <c r="I83" s="45">
        <f t="shared" si="3"/>
        <v>5241.1099999999997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45" x14ac:dyDescent="0.2">
      <c r="A84" s="63" t="s">
        <v>55</v>
      </c>
      <c r="B84" s="63" t="s">
        <v>56</v>
      </c>
      <c r="C84" s="35" t="s">
        <v>57</v>
      </c>
      <c r="D84" s="35" t="s">
        <v>58</v>
      </c>
      <c r="E84" s="35" t="s">
        <v>59</v>
      </c>
      <c r="F84" s="48"/>
      <c r="G84" s="35" t="s">
        <v>60</v>
      </c>
      <c r="H84" s="35" t="s">
        <v>61</v>
      </c>
      <c r="I84" s="35" t="s">
        <v>62</v>
      </c>
      <c r="J84" s="37"/>
      <c r="K84" s="7"/>
      <c r="L84" s="7"/>
      <c r="M84" s="7"/>
      <c r="N84" s="7"/>
      <c r="O84" s="7"/>
      <c r="P84" s="7"/>
      <c r="Q84" s="7"/>
      <c r="R84" s="4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1:30" x14ac:dyDescent="0.2">
      <c r="A85" s="58" t="s">
        <v>63</v>
      </c>
      <c r="B85" s="59" t="s">
        <v>64</v>
      </c>
      <c r="C85" s="28">
        <f>SUMIFS($E$43:$E$83,$B$43:$B$83,"FDA",$D$43:$D$83,"&lt;&gt;VAGO")</f>
        <v>0</v>
      </c>
      <c r="D85" s="28">
        <f>SUMIFS($E$43:$E$83,$B$43:$B$83,"FDA",$D$43:$D$83,"VAGO")</f>
        <v>0</v>
      </c>
      <c r="E85" s="28">
        <f t="shared" ref="E85:E89" si="4">C85+D85</f>
        <v>0</v>
      </c>
      <c r="F85" s="29"/>
      <c r="G85" s="45">
        <f>SUMIF($B$43:$B$83,"FDA",$G$43:$G$83)</f>
        <v>0</v>
      </c>
      <c r="H85" s="45">
        <f>SUMIF($B$43:$B$83,"FDA",$H$43:$H$83)</f>
        <v>0</v>
      </c>
      <c r="I85" s="45">
        <f>SUMIF($B$43:$B$83,"FDA",$I$43:$I$83)</f>
        <v>0</v>
      </c>
      <c r="J85" s="21"/>
      <c r="K85" s="7"/>
      <c r="L85" s="21"/>
      <c r="M85" s="21"/>
      <c r="N85" s="21"/>
      <c r="O85" s="21"/>
      <c r="P85" s="21"/>
      <c r="Q85" s="21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x14ac:dyDescent="0.2">
      <c r="A86" s="58" t="s">
        <v>65</v>
      </c>
      <c r="B86" s="59" t="s">
        <v>66</v>
      </c>
      <c r="C86" s="28">
        <f>SUMIFS($E$43:$E$83,$B$43:$B$83,"FDA-1",$D$43:$D$83,"&lt;&gt;VAGO")</f>
        <v>6</v>
      </c>
      <c r="D86" s="28">
        <f>SUMIFS($E$43:$E$83,$B$43:$B$83,"FDA-1",$D$43:$D$83,"VAGO")</f>
        <v>0</v>
      </c>
      <c r="E86" s="28">
        <f t="shared" si="4"/>
        <v>6</v>
      </c>
      <c r="F86" s="29"/>
      <c r="G86" s="45">
        <f>SUMIF($B$43:$B$83,"FDA-1",$G$43:$G$83)</f>
        <v>0</v>
      </c>
      <c r="H86" s="45">
        <f>SUMIF($B$43:$B$83,"FDA-1",$H$43:$H$83)</f>
        <v>34221.360000000001</v>
      </c>
      <c r="I86" s="45">
        <f>SUMIF($B$43:$B$83,"FDA-1",$I$43:$I$83)</f>
        <v>34221.360000000001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67</v>
      </c>
      <c r="B87" s="59" t="s">
        <v>68</v>
      </c>
      <c r="C87" s="28">
        <f>SUMIFS($E$43:$E$83,$B$43:$B$83,"FDA-2",$D$43:$D$83,"&lt;&gt;VAGO")</f>
        <v>6</v>
      </c>
      <c r="D87" s="28">
        <f>SUMIFS($E$43:$E$83,$B$43:$B$83,"FDA-2",$D$43:$D$83,"VAGO")</f>
        <v>0</v>
      </c>
      <c r="E87" s="28">
        <f t="shared" si="4"/>
        <v>6</v>
      </c>
      <c r="F87" s="32"/>
      <c r="G87" s="45">
        <f>SUMIF($B$43:$B$83,"FDA-2",$G$43:$G$83)</f>
        <v>33409.46</v>
      </c>
      <c r="H87" s="45">
        <f>SUMIF($B$43:$B$83,"FDA-2",$H$43:$H$83)</f>
        <v>27428.47</v>
      </c>
      <c r="I87" s="45">
        <f>SUMIF($B$43:$B$83,"FDA-2",$I$43:$I$83)</f>
        <v>60837.93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69</v>
      </c>
      <c r="B88" s="59" t="s">
        <v>70</v>
      </c>
      <c r="C88" s="28">
        <f>SUMIFS($E$43:$E$83,$B$43:$B$83,"FDA-3",$D$43:$D$83,"&lt;&gt;VAGO")</f>
        <v>2</v>
      </c>
      <c r="D88" s="28">
        <f>SUMIFS($E$43:$E$83,$B$43:$B$83,"FDA-3",$D$43:$D$83,"VAGO")</f>
        <v>0</v>
      </c>
      <c r="E88" s="28">
        <f t="shared" si="4"/>
        <v>2</v>
      </c>
      <c r="F88" s="34"/>
      <c r="G88" s="45">
        <f>SUMIF($B$43:$B$83,"FDA-3",$G$43:$G$83)</f>
        <v>0</v>
      </c>
      <c r="H88" s="45">
        <f>SUMIF($B$43:$B$83,"FDA-3",$H$43:$H$83)</f>
        <v>8632.42</v>
      </c>
      <c r="I88" s="45">
        <f>SUMIF($B$43:$B$83,"FDA-3",$I$43:$I$83)</f>
        <v>8632.42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71</v>
      </c>
      <c r="B89" s="59" t="s">
        <v>72</v>
      </c>
      <c r="C89" s="28">
        <f>SUMIFS($E$43:$E$83,$B$43:$B$83,"FDA-4",$D$43:$D$83,"&lt;&gt;VAGO")</f>
        <v>26</v>
      </c>
      <c r="D89" s="28">
        <f>SUMIFS($E$43:$E$83,$B$43:$B$83,"FDA-4",$D$43:$D$83,"VAGO")</f>
        <v>1</v>
      </c>
      <c r="E89" s="28">
        <f t="shared" si="4"/>
        <v>27</v>
      </c>
      <c r="F89" s="32"/>
      <c r="G89" s="45">
        <f>SUMIF($B$43:$B$83,"FDA-4",$G$43:$G$83)</f>
        <v>3849.66</v>
      </c>
      <c r="H89" s="45">
        <f>SUMIF($B$43:$B$83,"FDA-4",$H$43:$H$83)</f>
        <v>80158.260000000009</v>
      </c>
      <c r="I89" s="45">
        <f>SUMIF($B$43:$B$83,"FDA-4",$I$43:$I$83)</f>
        <v>84007.920000000013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30" x14ac:dyDescent="0.2">
      <c r="A90" s="63" t="s">
        <v>73</v>
      </c>
      <c r="B90" s="48"/>
      <c r="C90" s="35">
        <f t="shared" ref="C90:E90" si="5">SUM(C86:C89)</f>
        <v>40</v>
      </c>
      <c r="D90" s="35">
        <f t="shared" si="5"/>
        <v>1</v>
      </c>
      <c r="E90" s="35">
        <f t="shared" si="5"/>
        <v>41</v>
      </c>
      <c r="F90" s="48"/>
      <c r="G90" s="51">
        <f t="shared" ref="G90:I90" si="6">SUM(G85:G89)</f>
        <v>37259.119999999995</v>
      </c>
      <c r="H90" s="51">
        <f t="shared" si="6"/>
        <v>150440.51</v>
      </c>
      <c r="I90" s="51">
        <f t="shared" si="6"/>
        <v>187699.63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45" customHeight="1" x14ac:dyDescent="0.2">
      <c r="A91" s="38"/>
      <c r="B91" s="38"/>
      <c r="C91" s="38"/>
      <c r="D91" s="38"/>
      <c r="E91" s="38"/>
      <c r="F91" s="38"/>
      <c r="G91" s="38"/>
      <c r="H91" s="38"/>
      <c r="I91" s="7"/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x14ac:dyDescent="0.2">
      <c r="A92" s="99" t="s">
        <v>74</v>
      </c>
      <c r="B92" s="93"/>
      <c r="C92" s="93"/>
      <c r="D92" s="93"/>
      <c r="E92" s="93"/>
      <c r="F92" s="93"/>
      <c r="G92" s="93"/>
      <c r="H92" s="93"/>
      <c r="I92" s="94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30" x14ac:dyDescent="0.2">
      <c r="A93" s="52" t="s">
        <v>75</v>
      </c>
      <c r="B93" s="10" t="s">
        <v>76</v>
      </c>
      <c r="C93" s="10" t="s">
        <v>77</v>
      </c>
      <c r="D93" s="10" t="s">
        <v>78</v>
      </c>
      <c r="E93" s="10" t="s">
        <v>79</v>
      </c>
      <c r="F93" s="10" t="s">
        <v>80</v>
      </c>
      <c r="G93" s="10" t="s">
        <v>81</v>
      </c>
      <c r="H93" s="10" t="s">
        <v>82</v>
      </c>
      <c r="I93" s="10" t="s">
        <v>83</v>
      </c>
      <c r="J93" s="7"/>
      <c r="K93" s="7"/>
      <c r="L93" s="7"/>
      <c r="M93" s="7"/>
      <c r="N93" s="7"/>
      <c r="O93" s="7"/>
      <c r="P93" s="7"/>
      <c r="Q93" s="7"/>
      <c r="R93" s="40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x14ac:dyDescent="0.2">
      <c r="A94" s="56" t="s">
        <v>340</v>
      </c>
      <c r="B94" s="55" t="s">
        <v>93</v>
      </c>
      <c r="C94" s="55" t="s">
        <v>178</v>
      </c>
      <c r="D94" s="57" t="s">
        <v>181</v>
      </c>
      <c r="E94" s="46">
        <v>1</v>
      </c>
      <c r="F94" s="56" t="s">
        <v>374</v>
      </c>
      <c r="G94" s="44">
        <v>0</v>
      </c>
      <c r="H94" s="44">
        <v>1392.8</v>
      </c>
      <c r="I94" s="45">
        <f t="shared" ref="I94:I197" si="7">SUM(G94:H94)</f>
        <v>1392.8</v>
      </c>
      <c r="J94" s="21"/>
      <c r="K94" s="21"/>
      <c r="L94" s="21"/>
      <c r="M94" s="21"/>
      <c r="N94" s="21"/>
      <c r="O94" s="21"/>
      <c r="P94" s="21"/>
      <c r="Q94" s="21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x14ac:dyDescent="0.2">
      <c r="A95" s="47" t="s">
        <v>341</v>
      </c>
      <c r="B95" s="55" t="s">
        <v>342</v>
      </c>
      <c r="C95" s="57" t="s">
        <v>178</v>
      </c>
      <c r="D95" s="57" t="s">
        <v>199</v>
      </c>
      <c r="E95" s="46">
        <v>1</v>
      </c>
      <c r="F95" s="47" t="s">
        <v>375</v>
      </c>
      <c r="G95" s="44">
        <v>831.13</v>
      </c>
      <c r="H95" s="44">
        <v>849.76</v>
      </c>
      <c r="I95" s="45">
        <f t="shared" si="7"/>
        <v>1680.8899999999999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343</v>
      </c>
      <c r="B96" s="55" t="s">
        <v>101</v>
      </c>
      <c r="C96" s="57" t="s">
        <v>178</v>
      </c>
      <c r="D96" s="57" t="s">
        <v>199</v>
      </c>
      <c r="E96" s="46">
        <v>1</v>
      </c>
      <c r="F96" s="43" t="s">
        <v>376</v>
      </c>
      <c r="G96" s="44">
        <v>831.26</v>
      </c>
      <c r="H96" s="44">
        <v>465.35</v>
      </c>
      <c r="I96" s="45">
        <f t="shared" si="7"/>
        <v>1296.6100000000001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340</v>
      </c>
      <c r="B97" s="55" t="s">
        <v>93</v>
      </c>
      <c r="C97" s="57" t="s">
        <v>223</v>
      </c>
      <c r="D97" s="57" t="s">
        <v>199</v>
      </c>
      <c r="E97" s="46">
        <v>1</v>
      </c>
      <c r="F97" s="43" t="s">
        <v>377</v>
      </c>
      <c r="G97" s="44">
        <v>844.27</v>
      </c>
      <c r="H97" s="44">
        <v>1392.8</v>
      </c>
      <c r="I97" s="45">
        <f t="shared" si="7"/>
        <v>2237.0699999999997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344</v>
      </c>
      <c r="B98" s="55" t="s">
        <v>345</v>
      </c>
      <c r="C98" s="57" t="s">
        <v>223</v>
      </c>
      <c r="D98" s="57" t="s">
        <v>199</v>
      </c>
      <c r="E98" s="46">
        <v>1</v>
      </c>
      <c r="F98" s="43" t="s">
        <v>378</v>
      </c>
      <c r="G98" s="44">
        <v>831.26</v>
      </c>
      <c r="H98" s="44">
        <v>505.81</v>
      </c>
      <c r="I98" s="45">
        <f t="shared" si="7"/>
        <v>1337.07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340</v>
      </c>
      <c r="B99" s="55" t="s">
        <v>93</v>
      </c>
      <c r="C99" s="57" t="s">
        <v>223</v>
      </c>
      <c r="D99" s="57" t="s">
        <v>181</v>
      </c>
      <c r="E99" s="46">
        <v>1</v>
      </c>
      <c r="F99" s="43" t="s">
        <v>379</v>
      </c>
      <c r="G99" s="44">
        <v>0</v>
      </c>
      <c r="H99" s="44">
        <v>1392.8</v>
      </c>
      <c r="I99" s="45">
        <f t="shared" si="7"/>
        <v>1392.8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380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346</v>
      </c>
      <c r="B101" s="55" t="s">
        <v>97</v>
      </c>
      <c r="C101" s="57" t="s">
        <v>347</v>
      </c>
      <c r="D101" s="57" t="s">
        <v>181</v>
      </c>
      <c r="E101" s="46">
        <v>1</v>
      </c>
      <c r="F101" s="43" t="s">
        <v>381</v>
      </c>
      <c r="G101" s="44">
        <v>0</v>
      </c>
      <c r="H101" s="44">
        <v>566.5</v>
      </c>
      <c r="I101" s="45">
        <f t="shared" si="7"/>
        <v>566.5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382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348</v>
      </c>
      <c r="D103" s="57" t="s">
        <v>181</v>
      </c>
      <c r="E103" s="46">
        <v>1</v>
      </c>
      <c r="F103" s="43" t="s">
        <v>383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340</v>
      </c>
      <c r="B104" s="55" t="s">
        <v>93</v>
      </c>
      <c r="C104" s="57" t="s">
        <v>347</v>
      </c>
      <c r="D104" s="57" t="s">
        <v>181</v>
      </c>
      <c r="E104" s="46">
        <v>1</v>
      </c>
      <c r="F104" s="43" t="s">
        <v>384</v>
      </c>
      <c r="G104" s="44">
        <v>0</v>
      </c>
      <c r="H104" s="44">
        <v>1392.8</v>
      </c>
      <c r="I104" s="45">
        <f t="shared" si="7"/>
        <v>1392.8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349</v>
      </c>
      <c r="D105" s="57" t="s">
        <v>181</v>
      </c>
      <c r="E105" s="46">
        <v>1</v>
      </c>
      <c r="F105" s="43" t="s">
        <v>385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231</v>
      </c>
      <c r="D106" s="57" t="s">
        <v>181</v>
      </c>
      <c r="E106" s="46">
        <v>1</v>
      </c>
      <c r="F106" s="43" t="s">
        <v>386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341</v>
      </c>
      <c r="B107" s="55" t="s">
        <v>342</v>
      </c>
      <c r="C107" s="57" t="s">
        <v>350</v>
      </c>
      <c r="D107" s="57" t="s">
        <v>181</v>
      </c>
      <c r="E107" s="46">
        <v>1</v>
      </c>
      <c r="F107" s="43" t="s">
        <v>387</v>
      </c>
      <c r="G107" s="44">
        <v>0</v>
      </c>
      <c r="H107" s="44">
        <v>849.76</v>
      </c>
      <c r="I107" s="45">
        <f t="shared" si="7"/>
        <v>849.76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340</v>
      </c>
      <c r="B108" s="55" t="s">
        <v>93</v>
      </c>
      <c r="C108" s="57" t="s">
        <v>351</v>
      </c>
      <c r="D108" s="57" t="s">
        <v>181</v>
      </c>
      <c r="E108" s="46">
        <v>1</v>
      </c>
      <c r="F108" s="43" t="s">
        <v>388</v>
      </c>
      <c r="G108" s="44">
        <v>0</v>
      </c>
      <c r="H108" s="44">
        <v>1392.8</v>
      </c>
      <c r="I108" s="45">
        <f t="shared" si="7"/>
        <v>1392.8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346</v>
      </c>
      <c r="B109" s="55" t="s">
        <v>97</v>
      </c>
      <c r="C109" s="57" t="s">
        <v>352</v>
      </c>
      <c r="D109" s="57" t="s">
        <v>199</v>
      </c>
      <c r="E109" s="46">
        <v>1</v>
      </c>
      <c r="F109" s="43" t="s">
        <v>389</v>
      </c>
      <c r="G109" s="44">
        <v>852.4</v>
      </c>
      <c r="H109" s="44">
        <v>566.5</v>
      </c>
      <c r="I109" s="45">
        <f t="shared" si="7"/>
        <v>1418.9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340</v>
      </c>
      <c r="B110" s="55" t="s">
        <v>93</v>
      </c>
      <c r="C110" s="57" t="s">
        <v>353</v>
      </c>
      <c r="D110" s="57" t="s">
        <v>199</v>
      </c>
      <c r="E110" s="46">
        <v>1</v>
      </c>
      <c r="F110" s="43" t="s">
        <v>390</v>
      </c>
      <c r="G110" s="44">
        <v>830.46</v>
      </c>
      <c r="H110" s="44">
        <v>1392.8</v>
      </c>
      <c r="I110" s="45">
        <f t="shared" si="7"/>
        <v>2223.2600000000002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346</v>
      </c>
      <c r="B111" s="55" t="s">
        <v>97</v>
      </c>
      <c r="C111" s="57" t="s">
        <v>353</v>
      </c>
      <c r="D111" s="57" t="s">
        <v>199</v>
      </c>
      <c r="E111" s="46">
        <v>1</v>
      </c>
      <c r="F111" s="43" t="s">
        <v>391</v>
      </c>
      <c r="G111" s="44">
        <v>844.27</v>
      </c>
      <c r="H111" s="44">
        <v>566.5</v>
      </c>
      <c r="I111" s="45">
        <f t="shared" si="7"/>
        <v>1410.77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392</v>
      </c>
      <c r="G112" s="44">
        <v>844.13</v>
      </c>
      <c r="H112" s="44">
        <v>566.5</v>
      </c>
      <c r="I112" s="45">
        <f t="shared" si="7"/>
        <v>1410.63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354</v>
      </c>
      <c r="D113" s="57" t="s">
        <v>181</v>
      </c>
      <c r="E113" s="46">
        <v>1</v>
      </c>
      <c r="F113" s="43" t="s">
        <v>393</v>
      </c>
      <c r="G113" s="44">
        <v>0</v>
      </c>
      <c r="H113" s="44">
        <v>566.5</v>
      </c>
      <c r="I113" s="45">
        <f t="shared" si="7"/>
        <v>566.5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355</v>
      </c>
      <c r="D114" s="57" t="s">
        <v>199</v>
      </c>
      <c r="E114" s="46">
        <v>1</v>
      </c>
      <c r="F114" s="43" t="s">
        <v>477</v>
      </c>
      <c r="G114" s="44">
        <v>845.01</v>
      </c>
      <c r="H114" s="44">
        <v>566.5</v>
      </c>
      <c r="I114" s="45">
        <f t="shared" si="7"/>
        <v>1411.51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394</v>
      </c>
      <c r="G115" s="44">
        <v>837.96</v>
      </c>
      <c r="H115" s="44">
        <v>566.5</v>
      </c>
      <c r="I115" s="45">
        <f t="shared" si="7"/>
        <v>1404.46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395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340</v>
      </c>
      <c r="B117" s="55" t="s">
        <v>93</v>
      </c>
      <c r="C117" s="57" t="s">
        <v>356</v>
      </c>
      <c r="D117" s="57" t="s">
        <v>181</v>
      </c>
      <c r="E117" s="46">
        <v>1</v>
      </c>
      <c r="F117" s="43" t="s">
        <v>396</v>
      </c>
      <c r="G117" s="44">
        <v>0</v>
      </c>
      <c r="H117" s="44">
        <v>1392.8</v>
      </c>
      <c r="I117" s="45">
        <f t="shared" si="7"/>
        <v>1392.8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346</v>
      </c>
      <c r="B118" s="55" t="s">
        <v>97</v>
      </c>
      <c r="C118" s="57" t="s">
        <v>356</v>
      </c>
      <c r="D118" s="57" t="s">
        <v>199</v>
      </c>
      <c r="E118" s="46">
        <v>1</v>
      </c>
      <c r="F118" s="43" t="s">
        <v>397</v>
      </c>
      <c r="G118" s="44">
        <v>844.87</v>
      </c>
      <c r="H118" s="44">
        <v>566.5</v>
      </c>
      <c r="I118" s="45">
        <f t="shared" si="7"/>
        <v>1411.37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344</v>
      </c>
      <c r="B119" s="55" t="s">
        <v>345</v>
      </c>
      <c r="C119" s="57" t="s">
        <v>356</v>
      </c>
      <c r="D119" s="57" t="s">
        <v>199</v>
      </c>
      <c r="E119" s="46">
        <v>1</v>
      </c>
      <c r="F119" s="43" t="s">
        <v>398</v>
      </c>
      <c r="G119" s="44">
        <v>852.4</v>
      </c>
      <c r="H119" s="44">
        <v>505.81</v>
      </c>
      <c r="I119" s="45">
        <f t="shared" si="7"/>
        <v>1358.21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340</v>
      </c>
      <c r="B120" s="55" t="s">
        <v>93</v>
      </c>
      <c r="C120" s="57" t="s">
        <v>357</v>
      </c>
      <c r="D120" s="57" t="s">
        <v>181</v>
      </c>
      <c r="E120" s="46">
        <v>1</v>
      </c>
      <c r="F120" s="43" t="s">
        <v>399</v>
      </c>
      <c r="G120" s="44">
        <v>0</v>
      </c>
      <c r="H120" s="44">
        <v>1392.8</v>
      </c>
      <c r="I120" s="45">
        <f t="shared" si="7"/>
        <v>1392.8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346</v>
      </c>
      <c r="B121" s="55" t="s">
        <v>97</v>
      </c>
      <c r="C121" s="57" t="s">
        <v>357</v>
      </c>
      <c r="D121" s="57" t="s">
        <v>199</v>
      </c>
      <c r="E121" s="46">
        <v>1</v>
      </c>
      <c r="F121" s="43" t="s">
        <v>400</v>
      </c>
      <c r="G121" s="44">
        <v>16704.73</v>
      </c>
      <c r="H121" s="44">
        <v>566.5</v>
      </c>
      <c r="I121" s="45">
        <f t="shared" si="7"/>
        <v>17271.23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401</v>
      </c>
      <c r="G122" s="44">
        <v>837.96</v>
      </c>
      <c r="H122" s="44">
        <v>566.5</v>
      </c>
      <c r="I122" s="45">
        <f t="shared" si="7"/>
        <v>1404.46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358</v>
      </c>
      <c r="D123" s="57" t="s">
        <v>199</v>
      </c>
      <c r="E123" s="46">
        <v>1</v>
      </c>
      <c r="F123" s="43" t="s">
        <v>402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181</v>
      </c>
      <c r="E124" s="46">
        <v>1</v>
      </c>
      <c r="F124" s="43" t="s">
        <v>403</v>
      </c>
      <c r="G124" s="44">
        <v>0</v>
      </c>
      <c r="H124" s="44">
        <v>566.5</v>
      </c>
      <c r="I124" s="45">
        <f t="shared" si="7"/>
        <v>566.5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340</v>
      </c>
      <c r="B125" s="55" t="s">
        <v>93</v>
      </c>
      <c r="C125" s="57" t="s">
        <v>359</v>
      </c>
      <c r="D125" s="57" t="s">
        <v>199</v>
      </c>
      <c r="E125" s="46">
        <v>1</v>
      </c>
      <c r="F125" s="43" t="s">
        <v>404</v>
      </c>
      <c r="G125" s="44">
        <v>831.26</v>
      </c>
      <c r="H125" s="44">
        <v>1392.8</v>
      </c>
      <c r="I125" s="45">
        <f t="shared" si="7"/>
        <v>2224.06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405</v>
      </c>
      <c r="G126" s="44">
        <v>1006.04</v>
      </c>
      <c r="H126" s="44">
        <v>1392.8</v>
      </c>
      <c r="I126" s="45">
        <f t="shared" si="7"/>
        <v>2398.84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360</v>
      </c>
      <c r="D127" s="57" t="s">
        <v>199</v>
      </c>
      <c r="E127" s="46">
        <v>1</v>
      </c>
      <c r="F127" s="43" t="s">
        <v>406</v>
      </c>
      <c r="G127" s="44">
        <v>837.96</v>
      </c>
      <c r="H127" s="44">
        <v>1392.8</v>
      </c>
      <c r="I127" s="45">
        <f t="shared" si="7"/>
        <v>2230.7600000000002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346</v>
      </c>
      <c r="B128" s="55" t="s">
        <v>97</v>
      </c>
      <c r="C128" s="57" t="s">
        <v>361</v>
      </c>
      <c r="D128" s="57" t="s">
        <v>181</v>
      </c>
      <c r="E128" s="46">
        <v>1</v>
      </c>
      <c r="F128" s="43" t="s">
        <v>407</v>
      </c>
      <c r="G128" s="44">
        <v>0</v>
      </c>
      <c r="H128" s="44">
        <v>566.5</v>
      </c>
      <c r="I128" s="45">
        <f t="shared" si="7"/>
        <v>566.5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408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340</v>
      </c>
      <c r="B130" s="55" t="s">
        <v>93</v>
      </c>
      <c r="C130" s="57" t="s">
        <v>362</v>
      </c>
      <c r="D130" s="57" t="s">
        <v>181</v>
      </c>
      <c r="E130" s="46">
        <v>1</v>
      </c>
      <c r="F130" s="43" t="s">
        <v>409</v>
      </c>
      <c r="G130" s="44">
        <v>0</v>
      </c>
      <c r="H130" s="44">
        <v>1392.8</v>
      </c>
      <c r="I130" s="45">
        <f t="shared" si="7"/>
        <v>1392.8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248</v>
      </c>
      <c r="D131" s="57" t="s">
        <v>181</v>
      </c>
      <c r="E131" s="46">
        <v>1</v>
      </c>
      <c r="F131" s="43" t="s">
        <v>410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411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346</v>
      </c>
      <c r="B133" s="55" t="s">
        <v>97</v>
      </c>
      <c r="C133" s="57" t="s">
        <v>248</v>
      </c>
      <c r="D133" s="57" t="s">
        <v>199</v>
      </c>
      <c r="E133" s="46">
        <v>1</v>
      </c>
      <c r="F133" s="43" t="s">
        <v>412</v>
      </c>
      <c r="G133" s="44">
        <v>1509.2</v>
      </c>
      <c r="H133" s="44">
        <v>1392.8</v>
      </c>
      <c r="I133" s="45">
        <f t="shared" si="7"/>
        <v>2902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340</v>
      </c>
      <c r="B134" s="55" t="s">
        <v>93</v>
      </c>
      <c r="C134" s="57" t="s">
        <v>248</v>
      </c>
      <c r="D134" s="57" t="s">
        <v>199</v>
      </c>
      <c r="E134" s="46">
        <v>1</v>
      </c>
      <c r="F134" s="43" t="s">
        <v>413</v>
      </c>
      <c r="G134" s="44">
        <v>837.83</v>
      </c>
      <c r="H134" s="44">
        <v>1392.8</v>
      </c>
      <c r="I134" s="45">
        <f t="shared" si="7"/>
        <v>2230.63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194</v>
      </c>
      <c r="D135" s="57" t="s">
        <v>199</v>
      </c>
      <c r="E135" s="46">
        <v>1</v>
      </c>
      <c r="F135" s="43" t="s">
        <v>414</v>
      </c>
      <c r="G135" s="44">
        <v>809.06</v>
      </c>
      <c r="H135" s="44">
        <v>1392.8</v>
      </c>
      <c r="I135" s="45">
        <f t="shared" si="7"/>
        <v>2201.8599999999997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181</v>
      </c>
      <c r="E136" s="46">
        <v>1</v>
      </c>
      <c r="F136" s="43" t="s">
        <v>415</v>
      </c>
      <c r="G136" s="44">
        <v>0</v>
      </c>
      <c r="H136" s="44">
        <v>1392.8</v>
      </c>
      <c r="I136" s="45">
        <f t="shared" si="7"/>
        <v>1392.8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43" t="s">
        <v>416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199</v>
      </c>
      <c r="E138" s="46">
        <v>1</v>
      </c>
      <c r="F138" s="43" t="s">
        <v>417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418</v>
      </c>
      <c r="G139" s="44">
        <v>809.06</v>
      </c>
      <c r="H139" s="44">
        <v>1392.8</v>
      </c>
      <c r="I139" s="45">
        <f t="shared" si="7"/>
        <v>2201.8599999999997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341</v>
      </c>
      <c r="B140" s="55" t="s">
        <v>342</v>
      </c>
      <c r="C140" s="57" t="s">
        <v>194</v>
      </c>
      <c r="D140" s="57" t="s">
        <v>199</v>
      </c>
      <c r="E140" s="46">
        <v>1</v>
      </c>
      <c r="F140" s="43" t="s">
        <v>419</v>
      </c>
      <c r="G140" s="44">
        <v>852.4</v>
      </c>
      <c r="H140" s="44">
        <v>849.76</v>
      </c>
      <c r="I140" s="45">
        <f t="shared" si="7"/>
        <v>1702.1599999999999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478</v>
      </c>
      <c r="G141" s="44">
        <v>1509.2</v>
      </c>
      <c r="H141" s="44">
        <v>849.76</v>
      </c>
      <c r="I141" s="45">
        <f t="shared" si="7"/>
        <v>2358.96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421</v>
      </c>
      <c r="G142" s="44">
        <v>809.06</v>
      </c>
      <c r="H142" s="44">
        <v>849.76</v>
      </c>
      <c r="I142" s="45">
        <f t="shared" si="7"/>
        <v>1658.82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422</v>
      </c>
      <c r="G143" s="44">
        <v>837.26</v>
      </c>
      <c r="H143" s="44">
        <v>849.76</v>
      </c>
      <c r="I143" s="45">
        <f t="shared" si="7"/>
        <v>1687.02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346</v>
      </c>
      <c r="B144" s="55" t="s">
        <v>97</v>
      </c>
      <c r="C144" s="57" t="s">
        <v>194</v>
      </c>
      <c r="D144" s="57" t="s">
        <v>199</v>
      </c>
      <c r="E144" s="46">
        <v>1</v>
      </c>
      <c r="F144" s="43" t="s">
        <v>423</v>
      </c>
      <c r="G144" s="44">
        <v>824.75</v>
      </c>
      <c r="H144" s="44">
        <v>566.5</v>
      </c>
      <c r="I144" s="45">
        <f t="shared" si="7"/>
        <v>1391.25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424</v>
      </c>
      <c r="G145" s="44">
        <v>831.26</v>
      </c>
      <c r="H145" s="44">
        <v>566.5</v>
      </c>
      <c r="I145" s="45">
        <f t="shared" si="7"/>
        <v>1397.76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363</v>
      </c>
      <c r="B146" s="55" t="s">
        <v>342</v>
      </c>
      <c r="C146" s="57" t="s">
        <v>194</v>
      </c>
      <c r="D146" s="57" t="s">
        <v>199</v>
      </c>
      <c r="E146" s="46">
        <v>1</v>
      </c>
      <c r="F146" s="43" t="s">
        <v>425</v>
      </c>
      <c r="G146" s="44">
        <v>1509.2</v>
      </c>
      <c r="H146" s="44">
        <v>849.76</v>
      </c>
      <c r="I146" s="45">
        <f t="shared" si="7"/>
        <v>2358.96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340</v>
      </c>
      <c r="B147" s="55" t="s">
        <v>93</v>
      </c>
      <c r="C147" s="57" t="s">
        <v>254</v>
      </c>
      <c r="D147" s="57" t="s">
        <v>181</v>
      </c>
      <c r="E147" s="46">
        <v>1</v>
      </c>
      <c r="F147" s="43" t="s">
        <v>426</v>
      </c>
      <c r="G147" s="44">
        <v>0</v>
      </c>
      <c r="H147" s="44">
        <v>1392.8</v>
      </c>
      <c r="I147" s="45">
        <f t="shared" si="7"/>
        <v>1392.8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57" t="s">
        <v>181</v>
      </c>
      <c r="E148" s="46">
        <v>1</v>
      </c>
      <c r="F148" s="43" t="s">
        <v>427</v>
      </c>
      <c r="G148" s="44">
        <v>0</v>
      </c>
      <c r="H148" s="44">
        <v>1392.8</v>
      </c>
      <c r="I148" s="45">
        <f t="shared" si="7"/>
        <v>1392.8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364</v>
      </c>
      <c r="D149" s="57" t="s">
        <v>181</v>
      </c>
      <c r="E149" s="46">
        <v>1</v>
      </c>
      <c r="F149" s="43" t="s">
        <v>428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199</v>
      </c>
      <c r="E150" s="46">
        <v>1</v>
      </c>
      <c r="F150" s="43" t="s">
        <v>429</v>
      </c>
      <c r="G150" s="44">
        <v>809.06</v>
      </c>
      <c r="H150" s="44">
        <v>1392.8</v>
      </c>
      <c r="I150" s="45">
        <f t="shared" si="7"/>
        <v>2201.8599999999997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346</v>
      </c>
      <c r="B151" s="55" t="s">
        <v>97</v>
      </c>
      <c r="C151" s="57" t="s">
        <v>364</v>
      </c>
      <c r="D151" s="57" t="s">
        <v>199</v>
      </c>
      <c r="E151" s="46">
        <v>1</v>
      </c>
      <c r="F151" s="43" t="s">
        <v>430</v>
      </c>
      <c r="G151" s="44">
        <v>1509.2</v>
      </c>
      <c r="H151" s="44">
        <v>566.5</v>
      </c>
      <c r="I151" s="45">
        <f t="shared" si="7"/>
        <v>2075.6999999999998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341</v>
      </c>
      <c r="B152" s="55" t="s">
        <v>342</v>
      </c>
      <c r="C152" s="57" t="s">
        <v>364</v>
      </c>
      <c r="D152" s="57" t="s">
        <v>199</v>
      </c>
      <c r="E152" s="46">
        <v>1</v>
      </c>
      <c r="F152" s="43" t="s">
        <v>431</v>
      </c>
      <c r="G152" s="44">
        <v>1509.2</v>
      </c>
      <c r="H152" s="44">
        <v>849.76</v>
      </c>
      <c r="I152" s="45">
        <f t="shared" si="7"/>
        <v>2358.96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346</v>
      </c>
      <c r="B153" s="55" t="s">
        <v>97</v>
      </c>
      <c r="C153" s="57" t="s">
        <v>260</v>
      </c>
      <c r="D153" s="57" t="s">
        <v>181</v>
      </c>
      <c r="E153" s="46">
        <v>1</v>
      </c>
      <c r="F153" s="43" t="s">
        <v>479</v>
      </c>
      <c r="G153" s="44">
        <v>0</v>
      </c>
      <c r="H153" s="44">
        <v>566.5</v>
      </c>
      <c r="I153" s="45">
        <f t="shared" si="7"/>
        <v>566.5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340</v>
      </c>
      <c r="B154" s="55" t="s">
        <v>93</v>
      </c>
      <c r="C154" s="57" t="s">
        <v>260</v>
      </c>
      <c r="D154" s="57" t="s">
        <v>181</v>
      </c>
      <c r="E154" s="46">
        <v>1</v>
      </c>
      <c r="F154" s="43" t="s">
        <v>433</v>
      </c>
      <c r="G154" s="44">
        <v>0</v>
      </c>
      <c r="H154" s="44">
        <v>1392.8</v>
      </c>
      <c r="I154" s="45">
        <f t="shared" si="7"/>
        <v>1392.8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365</v>
      </c>
      <c r="B155" s="55" t="s">
        <v>93</v>
      </c>
      <c r="C155" s="57" t="s">
        <v>260</v>
      </c>
      <c r="D155" s="57" t="s">
        <v>181</v>
      </c>
      <c r="E155" s="46">
        <v>1</v>
      </c>
      <c r="F155" s="43" t="s">
        <v>434</v>
      </c>
      <c r="G155" s="44">
        <v>0</v>
      </c>
      <c r="H155" s="44">
        <v>1392.8</v>
      </c>
      <c r="I155" s="45">
        <f t="shared" si="7"/>
        <v>1392.8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435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341</v>
      </c>
      <c r="B157" s="55" t="s">
        <v>342</v>
      </c>
      <c r="C157" s="57" t="s">
        <v>198</v>
      </c>
      <c r="D157" s="57" t="s">
        <v>199</v>
      </c>
      <c r="E157" s="46">
        <v>1</v>
      </c>
      <c r="F157" s="43" t="s">
        <v>436</v>
      </c>
      <c r="G157" s="44">
        <v>809.06</v>
      </c>
      <c r="H157" s="44">
        <v>849.76</v>
      </c>
      <c r="I157" s="45">
        <f t="shared" si="7"/>
        <v>1658.82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343</v>
      </c>
      <c r="B158" s="55" t="s">
        <v>101</v>
      </c>
      <c r="C158" s="57" t="s">
        <v>198</v>
      </c>
      <c r="D158" s="57" t="s">
        <v>199</v>
      </c>
      <c r="E158" s="46">
        <v>1</v>
      </c>
      <c r="F158" s="43" t="s">
        <v>437</v>
      </c>
      <c r="G158" s="44">
        <v>1509.2</v>
      </c>
      <c r="H158" s="44">
        <v>849.76</v>
      </c>
      <c r="I158" s="45">
        <f t="shared" si="7"/>
        <v>2358.96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340</v>
      </c>
      <c r="B159" s="55" t="s">
        <v>93</v>
      </c>
      <c r="C159" s="57" t="s">
        <v>366</v>
      </c>
      <c r="D159" s="57" t="s">
        <v>181</v>
      </c>
      <c r="E159" s="46">
        <v>1</v>
      </c>
      <c r="F159" s="43" t="s">
        <v>438</v>
      </c>
      <c r="G159" s="44">
        <v>0</v>
      </c>
      <c r="H159" s="44">
        <v>1392.8</v>
      </c>
      <c r="I159" s="45">
        <f t="shared" si="7"/>
        <v>1392.8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199</v>
      </c>
      <c r="E160" s="46">
        <v>1</v>
      </c>
      <c r="F160" s="43" t="s">
        <v>439</v>
      </c>
      <c r="G160" s="44">
        <v>852.4</v>
      </c>
      <c r="H160" s="44">
        <v>1392.8</v>
      </c>
      <c r="I160" s="45">
        <f t="shared" si="7"/>
        <v>2245.1999999999998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341</v>
      </c>
      <c r="B161" s="55" t="s">
        <v>342</v>
      </c>
      <c r="C161" s="57" t="s">
        <v>366</v>
      </c>
      <c r="D161" s="57" t="s">
        <v>199</v>
      </c>
      <c r="E161" s="46">
        <v>1</v>
      </c>
      <c r="F161" s="43" t="s">
        <v>440</v>
      </c>
      <c r="G161" s="44">
        <v>831.26</v>
      </c>
      <c r="H161" s="44">
        <v>849.76</v>
      </c>
      <c r="I161" s="45">
        <f t="shared" si="7"/>
        <v>1681.02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441</v>
      </c>
      <c r="G162" s="44">
        <v>824.11</v>
      </c>
      <c r="H162" s="44">
        <v>849.76</v>
      </c>
      <c r="I162" s="45">
        <f t="shared" si="7"/>
        <v>1673.87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442</v>
      </c>
      <c r="G163" s="44">
        <v>1109.1600000000001</v>
      </c>
      <c r="H163" s="44">
        <v>849.76</v>
      </c>
      <c r="I163" s="45">
        <f t="shared" si="7"/>
        <v>1958.92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443</v>
      </c>
      <c r="G164" s="44">
        <v>811.5</v>
      </c>
      <c r="H164" s="44">
        <v>849.76</v>
      </c>
      <c r="I164" s="45">
        <f t="shared" si="7"/>
        <v>1661.26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444</v>
      </c>
      <c r="G165" s="44">
        <v>831.13</v>
      </c>
      <c r="H165" s="44">
        <v>849.76</v>
      </c>
      <c r="I165" s="45">
        <f t="shared" si="7"/>
        <v>1680.8899999999999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346</v>
      </c>
      <c r="B166" s="55" t="s">
        <v>97</v>
      </c>
      <c r="C166" s="57" t="s">
        <v>366</v>
      </c>
      <c r="D166" s="57" t="s">
        <v>199</v>
      </c>
      <c r="E166" s="46">
        <v>1</v>
      </c>
      <c r="F166" s="43" t="s">
        <v>445</v>
      </c>
      <c r="G166" s="44">
        <v>844.87</v>
      </c>
      <c r="H166" s="44">
        <v>566.5</v>
      </c>
      <c r="I166" s="45">
        <f t="shared" si="7"/>
        <v>1411.37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291</v>
      </c>
      <c r="D167" s="57" t="s">
        <v>199</v>
      </c>
      <c r="E167" s="46">
        <v>1</v>
      </c>
      <c r="F167" s="43" t="s">
        <v>446</v>
      </c>
      <c r="G167" s="44">
        <v>852.4</v>
      </c>
      <c r="H167" s="44">
        <v>566.5</v>
      </c>
      <c r="I167" s="45">
        <f t="shared" si="7"/>
        <v>1418.9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94</v>
      </c>
      <c r="B168" s="55" t="s">
        <v>342</v>
      </c>
      <c r="C168" s="57" t="s">
        <v>291</v>
      </c>
      <c r="D168" s="57" t="s">
        <v>199</v>
      </c>
      <c r="E168" s="46">
        <v>1</v>
      </c>
      <c r="F168" s="43" t="s">
        <v>487</v>
      </c>
      <c r="G168" s="44">
        <v>809.06</v>
      </c>
      <c r="H168" s="44">
        <v>849.76</v>
      </c>
      <c r="I168" s="45">
        <f t="shared" si="7"/>
        <v>1658.82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341</v>
      </c>
      <c r="B169" s="55" t="s">
        <v>342</v>
      </c>
      <c r="C169" s="57" t="s">
        <v>291</v>
      </c>
      <c r="D169" s="57" t="s">
        <v>181</v>
      </c>
      <c r="E169" s="46">
        <v>1</v>
      </c>
      <c r="F169" s="43" t="s">
        <v>448</v>
      </c>
      <c r="G169" s="44">
        <v>0</v>
      </c>
      <c r="H169" s="44">
        <v>849.76</v>
      </c>
      <c r="I169" s="45">
        <f t="shared" si="7"/>
        <v>849.76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340</v>
      </c>
      <c r="B170" s="55" t="s">
        <v>93</v>
      </c>
      <c r="C170" s="57" t="s">
        <v>291</v>
      </c>
      <c r="D170" s="57" t="s">
        <v>199</v>
      </c>
      <c r="E170" s="46">
        <v>1</v>
      </c>
      <c r="F170" s="43" t="s">
        <v>449</v>
      </c>
      <c r="G170" s="44">
        <v>852.4</v>
      </c>
      <c r="H170" s="44">
        <v>1392.8</v>
      </c>
      <c r="I170" s="45">
        <f t="shared" si="7"/>
        <v>2245.1999999999998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450</v>
      </c>
      <c r="G171" s="44">
        <v>844.87</v>
      </c>
      <c r="H171" s="44">
        <v>1392.8</v>
      </c>
      <c r="I171" s="45">
        <f t="shared" si="7"/>
        <v>2237.67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451</v>
      </c>
      <c r="G172" s="44">
        <v>852.4</v>
      </c>
      <c r="H172" s="44">
        <v>1392.8</v>
      </c>
      <c r="I172" s="45">
        <f t="shared" si="7"/>
        <v>2245.1999999999998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346</v>
      </c>
      <c r="B173" s="55" t="s">
        <v>97</v>
      </c>
      <c r="C173" s="57" t="s">
        <v>291</v>
      </c>
      <c r="D173" s="57" t="s">
        <v>199</v>
      </c>
      <c r="E173" s="46">
        <v>1</v>
      </c>
      <c r="F173" s="43" t="s">
        <v>452</v>
      </c>
      <c r="G173" s="44">
        <v>852.4</v>
      </c>
      <c r="H173" s="44">
        <v>566.5</v>
      </c>
      <c r="I173" s="45">
        <f t="shared" si="7"/>
        <v>1418.9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344</v>
      </c>
      <c r="B174" s="55" t="s">
        <v>345</v>
      </c>
      <c r="C174" s="57" t="s">
        <v>291</v>
      </c>
      <c r="D174" s="57" t="s">
        <v>199</v>
      </c>
      <c r="E174" s="46">
        <v>1</v>
      </c>
      <c r="F174" s="43" t="s">
        <v>453</v>
      </c>
      <c r="G174" s="44">
        <v>1509.2</v>
      </c>
      <c r="H174" s="44">
        <v>505.81</v>
      </c>
      <c r="I174" s="45">
        <f t="shared" si="7"/>
        <v>2015.01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367</v>
      </c>
      <c r="B175" s="55" t="s">
        <v>103</v>
      </c>
      <c r="C175" s="57" t="s">
        <v>291</v>
      </c>
      <c r="D175" s="57" t="s">
        <v>199</v>
      </c>
      <c r="E175" s="46">
        <v>1</v>
      </c>
      <c r="F175" s="43" t="s">
        <v>454</v>
      </c>
      <c r="G175" s="44">
        <v>1509.2</v>
      </c>
      <c r="H175" s="44">
        <v>364.17</v>
      </c>
      <c r="I175" s="45">
        <f t="shared" si="7"/>
        <v>1873.3700000000001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340</v>
      </c>
      <c r="B176" s="55" t="s">
        <v>93</v>
      </c>
      <c r="C176" s="57" t="s">
        <v>203</v>
      </c>
      <c r="D176" s="57" t="s">
        <v>181</v>
      </c>
      <c r="E176" s="46">
        <v>1</v>
      </c>
      <c r="F176" s="43" t="s">
        <v>455</v>
      </c>
      <c r="G176" s="44">
        <v>0</v>
      </c>
      <c r="H176" s="44">
        <v>1392.8</v>
      </c>
      <c r="I176" s="45">
        <f t="shared" si="7"/>
        <v>1392.8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456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199</v>
      </c>
      <c r="E178" s="46">
        <v>1</v>
      </c>
      <c r="F178" s="43" t="s">
        <v>457</v>
      </c>
      <c r="G178" s="44">
        <v>1509.2</v>
      </c>
      <c r="H178" s="44">
        <v>1392.8</v>
      </c>
      <c r="I178" s="45">
        <f t="shared" si="7"/>
        <v>2902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346</v>
      </c>
      <c r="B179" s="55" t="s">
        <v>97</v>
      </c>
      <c r="C179" s="57" t="s">
        <v>295</v>
      </c>
      <c r="D179" s="57" t="s">
        <v>199</v>
      </c>
      <c r="E179" s="46">
        <v>1</v>
      </c>
      <c r="F179" s="43" t="s">
        <v>458</v>
      </c>
      <c r="G179" s="44">
        <v>844.87</v>
      </c>
      <c r="H179" s="44">
        <v>566.5</v>
      </c>
      <c r="I179" s="45">
        <f t="shared" si="7"/>
        <v>1411.37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341</v>
      </c>
      <c r="B180" s="55" t="s">
        <v>342</v>
      </c>
      <c r="C180" s="57" t="s">
        <v>295</v>
      </c>
      <c r="D180" s="57" t="s">
        <v>199</v>
      </c>
      <c r="E180" s="46">
        <v>1</v>
      </c>
      <c r="F180" s="43" t="s">
        <v>459</v>
      </c>
      <c r="G180" s="44">
        <v>1509.2</v>
      </c>
      <c r="H180" s="44">
        <v>849.76</v>
      </c>
      <c r="I180" s="45">
        <f t="shared" si="7"/>
        <v>2358.96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299</v>
      </c>
      <c r="D181" s="57" t="s">
        <v>199</v>
      </c>
      <c r="E181" s="46">
        <v>1</v>
      </c>
      <c r="F181" s="43" t="s">
        <v>460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368</v>
      </c>
      <c r="D182" s="57" t="s">
        <v>199</v>
      </c>
      <c r="E182" s="46">
        <v>1</v>
      </c>
      <c r="F182" s="43" t="s">
        <v>461</v>
      </c>
      <c r="G182" s="44">
        <v>987.85</v>
      </c>
      <c r="H182" s="44">
        <v>849.76</v>
      </c>
      <c r="I182" s="45">
        <f t="shared" si="7"/>
        <v>1837.6100000000001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344</v>
      </c>
      <c r="B183" s="55" t="s">
        <v>345</v>
      </c>
      <c r="C183" s="57" t="s">
        <v>368</v>
      </c>
      <c r="D183" s="57" t="s">
        <v>199</v>
      </c>
      <c r="E183" s="46">
        <v>1</v>
      </c>
      <c r="F183" s="43" t="s">
        <v>462</v>
      </c>
      <c r="G183" s="44">
        <v>990.49</v>
      </c>
      <c r="H183" s="44">
        <v>505.81</v>
      </c>
      <c r="I183" s="45">
        <f t="shared" si="7"/>
        <v>1496.3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463</v>
      </c>
      <c r="G184" s="44">
        <v>987.85</v>
      </c>
      <c r="H184" s="44">
        <v>505.81</v>
      </c>
      <c r="I184" s="45">
        <f t="shared" si="7"/>
        <v>1493.66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346</v>
      </c>
      <c r="B185" s="55" t="s">
        <v>97</v>
      </c>
      <c r="C185" s="57" t="s">
        <v>368</v>
      </c>
      <c r="D185" s="57" t="s">
        <v>199</v>
      </c>
      <c r="E185" s="46">
        <v>1</v>
      </c>
      <c r="F185" s="43" t="s">
        <v>464</v>
      </c>
      <c r="G185" s="44">
        <v>974.09</v>
      </c>
      <c r="H185" s="44">
        <v>566.5</v>
      </c>
      <c r="I185" s="45">
        <f t="shared" si="7"/>
        <v>1540.5900000000001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369</v>
      </c>
      <c r="D186" s="57" t="s">
        <v>199</v>
      </c>
      <c r="E186" s="46">
        <v>1</v>
      </c>
      <c r="F186" s="43" t="s">
        <v>465</v>
      </c>
      <c r="G186" s="44">
        <v>852.4</v>
      </c>
      <c r="H186" s="44">
        <v>566.5</v>
      </c>
      <c r="I186" s="45">
        <f t="shared" si="7"/>
        <v>1418.9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341</v>
      </c>
      <c r="B187" s="55" t="s">
        <v>342</v>
      </c>
      <c r="C187" s="57" t="s">
        <v>370</v>
      </c>
      <c r="D187" s="57" t="s">
        <v>199</v>
      </c>
      <c r="E187" s="46">
        <v>1</v>
      </c>
      <c r="F187" s="43" t="s">
        <v>466</v>
      </c>
      <c r="G187" s="44">
        <v>835.87</v>
      </c>
      <c r="H187" s="44">
        <v>849.76</v>
      </c>
      <c r="I187" s="45">
        <f t="shared" si="7"/>
        <v>1685.63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346</v>
      </c>
      <c r="B188" s="55" t="s">
        <v>97</v>
      </c>
      <c r="C188" s="57" t="s">
        <v>370</v>
      </c>
      <c r="D188" s="57" t="s">
        <v>181</v>
      </c>
      <c r="E188" s="46">
        <v>1</v>
      </c>
      <c r="F188" s="43" t="s">
        <v>467</v>
      </c>
      <c r="G188" s="44">
        <v>0</v>
      </c>
      <c r="H188" s="44">
        <v>566.5</v>
      </c>
      <c r="I188" s="45">
        <f t="shared" si="7"/>
        <v>566.5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371</v>
      </c>
      <c r="D189" s="57" t="s">
        <v>199</v>
      </c>
      <c r="E189" s="46">
        <v>1</v>
      </c>
      <c r="F189" s="43" t="s">
        <v>468</v>
      </c>
      <c r="G189" s="44">
        <v>965.59</v>
      </c>
      <c r="H189" s="44">
        <v>566.5</v>
      </c>
      <c r="I189" s="45">
        <f t="shared" si="7"/>
        <v>1532.0900000000001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372</v>
      </c>
      <c r="D190" s="57" t="s">
        <v>199</v>
      </c>
      <c r="E190" s="46">
        <v>1</v>
      </c>
      <c r="F190" s="43" t="s">
        <v>469</v>
      </c>
      <c r="G190" s="44">
        <v>853.96</v>
      </c>
      <c r="H190" s="44">
        <v>566.5</v>
      </c>
      <c r="I190" s="45">
        <f t="shared" si="7"/>
        <v>1420.46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56" t="s">
        <v>340</v>
      </c>
      <c r="B191" s="55" t="s">
        <v>93</v>
      </c>
      <c r="C191" s="55" t="s">
        <v>373</v>
      </c>
      <c r="D191" s="57" t="s">
        <v>181</v>
      </c>
      <c r="E191" s="46">
        <v>1</v>
      </c>
      <c r="F191" s="47" t="s">
        <v>470</v>
      </c>
      <c r="G191" s="44">
        <v>0</v>
      </c>
      <c r="H191" s="44">
        <v>1392.8</v>
      </c>
      <c r="I191" s="45">
        <f t="shared" si="7"/>
        <v>1392.8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365</v>
      </c>
      <c r="B192" s="55" t="s">
        <v>93</v>
      </c>
      <c r="C192" s="55" t="s">
        <v>373</v>
      </c>
      <c r="D192" s="57" t="s">
        <v>199</v>
      </c>
      <c r="E192" s="46">
        <v>1</v>
      </c>
      <c r="F192" s="56" t="s">
        <v>471</v>
      </c>
      <c r="G192" s="44">
        <v>837.26</v>
      </c>
      <c r="H192" s="44">
        <v>1392.8</v>
      </c>
      <c r="I192" s="45">
        <f t="shared" si="7"/>
        <v>2230.06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340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472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365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473</v>
      </c>
      <c r="G194" s="44">
        <v>844.13</v>
      </c>
      <c r="H194" s="44">
        <v>1392.8</v>
      </c>
      <c r="I194" s="45">
        <f t="shared" si="7"/>
        <v>2236.9299999999998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346</v>
      </c>
      <c r="B195" s="55" t="s">
        <v>97</v>
      </c>
      <c r="C195" s="55" t="s">
        <v>373</v>
      </c>
      <c r="D195" s="57" t="s">
        <v>181</v>
      </c>
      <c r="E195" s="46">
        <v>1</v>
      </c>
      <c r="F195" s="56" t="s">
        <v>474</v>
      </c>
      <c r="G195" s="44">
        <v>0</v>
      </c>
      <c r="H195" s="44">
        <v>566.5</v>
      </c>
      <c r="I195" s="45">
        <f t="shared" si="7"/>
        <v>566.5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365</v>
      </c>
      <c r="B196" s="55" t="s">
        <v>93</v>
      </c>
      <c r="C196" s="55" t="s">
        <v>373</v>
      </c>
      <c r="D196" s="57" t="s">
        <v>199</v>
      </c>
      <c r="E196" s="46">
        <v>1</v>
      </c>
      <c r="F196" s="56" t="s">
        <v>475</v>
      </c>
      <c r="G196" s="44">
        <v>830.46</v>
      </c>
      <c r="H196" s="44">
        <v>1392.8</v>
      </c>
      <c r="I196" s="45">
        <f t="shared" si="7"/>
        <v>2223.2600000000002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476</v>
      </c>
      <c r="G197" s="44">
        <v>837.13</v>
      </c>
      <c r="H197" s="44">
        <v>1392.8</v>
      </c>
      <c r="I197" s="45">
        <f t="shared" si="7"/>
        <v>2229.9299999999998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45" x14ac:dyDescent="0.2">
      <c r="A198" s="63" t="s">
        <v>84</v>
      </c>
      <c r="B198" s="63" t="s">
        <v>85</v>
      </c>
      <c r="C198" s="35" t="s">
        <v>86</v>
      </c>
      <c r="D198" s="35" t="s">
        <v>87</v>
      </c>
      <c r="E198" s="35" t="s">
        <v>88</v>
      </c>
      <c r="F198" s="48"/>
      <c r="G198" s="35" t="s">
        <v>89</v>
      </c>
      <c r="H198" s="35" t="s">
        <v>90</v>
      </c>
      <c r="I198" s="35" t="s">
        <v>91</v>
      </c>
      <c r="J198" s="21"/>
      <c r="K198" s="21"/>
      <c r="L198" s="21"/>
      <c r="M198" s="21"/>
      <c r="N198" s="21"/>
      <c r="O198" s="21"/>
      <c r="P198" s="21"/>
      <c r="Q198" s="21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 spans="1:30" x14ac:dyDescent="0.2">
      <c r="A199" s="58" t="s">
        <v>92</v>
      </c>
      <c r="B199" s="59" t="s">
        <v>93</v>
      </c>
      <c r="C199" s="28">
        <f>SUMIFS($E$94:$E$197,$B$94:$B$197,"FGS-1",$D$94:$D$197,"&lt;&gt;VAGO")</f>
        <v>44</v>
      </c>
      <c r="D199" s="28">
        <f>SUMIFS($E$94:$E$197,$B$94:$B$197,"FGS-1",$D$94:$D$197,"VAGO")</f>
        <v>0</v>
      </c>
      <c r="E199" s="28">
        <f t="shared" ref="E199:E204" si="8">C199+D199</f>
        <v>44</v>
      </c>
      <c r="F199" s="29"/>
      <c r="G199" s="45">
        <f>SUMIF($B$94:$B$197,"FGS-1",$G$94:$G$197)</f>
        <v>18221.71</v>
      </c>
      <c r="H199" s="45">
        <f>SUMIF($B$94:$B$197,"FGS-1",$H$94:$H$197)</f>
        <v>61283.200000000048</v>
      </c>
      <c r="I199" s="71">
        <f>SUMIF($B$94:$B$197,"FGS-1",$I$94:$I$197)</f>
        <v>79504.91</v>
      </c>
      <c r="J199" s="21"/>
      <c r="K199" s="21"/>
      <c r="L199" s="21"/>
      <c r="M199" s="21"/>
      <c r="N199" s="21"/>
      <c r="O199" s="21"/>
      <c r="P199" s="21"/>
      <c r="Q199" s="21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spans="1:30" x14ac:dyDescent="0.2">
      <c r="A200" s="58" t="s">
        <v>94</v>
      </c>
      <c r="B200" s="59" t="s">
        <v>95</v>
      </c>
      <c r="C200" s="28">
        <f>SUMIFS($E$94:$E$197,$B$94:$B$197,"FGS-2",$D$94:$D$197,"&lt;&gt;VAGO")</f>
        <v>20</v>
      </c>
      <c r="D200" s="28">
        <f>SUMIFS($E$94:$E$197,$B$94:$B$197,"FGS-2",$D$94:$D$197,"VAGO")</f>
        <v>0</v>
      </c>
      <c r="E200" s="28">
        <f t="shared" si="8"/>
        <v>20</v>
      </c>
      <c r="F200" s="32"/>
      <c r="G200" s="45">
        <f>SUMIF($B$94:$B$197,"FGS-2",$G$94:$G$197)</f>
        <v>18724.849999999999</v>
      </c>
      <c r="H200" s="45">
        <f>SUMIF($B$94:$B$197,"FGS-2",$H$94:$H$197)</f>
        <v>16995.2</v>
      </c>
      <c r="I200" s="71">
        <f>SUMIF($B$94:$B$197,"FGS-2",$I$94:$I$197)</f>
        <v>35720.049999999988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96</v>
      </c>
      <c r="B201" s="59" t="s">
        <v>97</v>
      </c>
      <c r="C201" s="28">
        <f>SUMIFS($E$94:$E$197,$B$94:$B$197,"FGS-3",$D$94:$D$197,"&lt;&gt;VAGO")</f>
        <v>32</v>
      </c>
      <c r="D201" s="28">
        <f>SUMIFS($E$94:$E$197,$B$94:$B$197,"FGS-3",$D$94:$D$197,"VAGO")</f>
        <v>0</v>
      </c>
      <c r="E201" s="28">
        <f t="shared" si="8"/>
        <v>32</v>
      </c>
      <c r="F201" s="32"/>
      <c r="G201" s="45">
        <f>SUMIF($B$94:$B$197,"FGS-3",$G$94:$G$197)</f>
        <v>36002.239999999998</v>
      </c>
      <c r="H201" s="45">
        <f>SUMIF($B$94:$B$197,"FGS-3",$H$94:$H$197)</f>
        <v>18954.3</v>
      </c>
      <c r="I201" s="71">
        <f>SUMIF($B$94:$B$197,"FGS-3",$I$94:$I$197)</f>
        <v>54956.540000000015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60" t="s">
        <v>98</v>
      </c>
      <c r="B202" s="61" t="s">
        <v>99</v>
      </c>
      <c r="C202" s="28">
        <f>SUMIFS($E$94:$E$197,$B$94:$B$197,"FGA-1",$D$94:$D$197,"&lt;&gt;VAGO")</f>
        <v>5</v>
      </c>
      <c r="D202" s="28">
        <f>SUMIFS($E$94:$E$197,$B$94:$B$197,"FGA-1",$D$94:$D$197,"VAGO")</f>
        <v>0</v>
      </c>
      <c r="E202" s="28">
        <f t="shared" si="8"/>
        <v>5</v>
      </c>
      <c r="F202" s="34"/>
      <c r="G202" s="45">
        <f>SUMIF($B$94:$B$197,"FGA-1",$G$94:$G$197)</f>
        <v>5171.2</v>
      </c>
      <c r="H202" s="45">
        <f>SUMIF($B$94:$B$197,"FGA-1",$H$94:$H$197)</f>
        <v>2529.0500000000002</v>
      </c>
      <c r="I202" s="71">
        <f>SUMIF($B$94:$B$197,"FGA-1",$I$94:$I$197)</f>
        <v>7700.25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58" t="s">
        <v>100</v>
      </c>
      <c r="B203" s="59" t="s">
        <v>101</v>
      </c>
      <c r="C203" s="28">
        <f>SUMIFS($E$94:$E$197,$B$94:$B$197,"FGA-2",$D$94:$D$197,"&lt;&gt;VAGO")</f>
        <v>2</v>
      </c>
      <c r="D203" s="28">
        <f>SUMIFS($E$94:$E$197,$B$94:$B$197,"FGA-2",$D$94:$D$197,"VAGO")</f>
        <v>0</v>
      </c>
      <c r="E203" s="28">
        <f t="shared" si="8"/>
        <v>2</v>
      </c>
      <c r="F203" s="34"/>
      <c r="G203" s="45">
        <f>SUMIF($B$94:$B$197,"FGA-2",$G$94:$G$197)</f>
        <v>2340.46</v>
      </c>
      <c r="H203" s="45">
        <f>SUMIF($B$94:$B$197,"FGA-2",$H$94:$H$197)</f>
        <v>1315.1100000000001</v>
      </c>
      <c r="I203" s="71">
        <f>SUMIF($B$94:$B$197,"FGA-2",$I$94:$I$197)</f>
        <v>3655.57</v>
      </c>
      <c r="J203" s="21"/>
      <c r="K203" s="21"/>
      <c r="L203" s="21"/>
      <c r="M203" s="21"/>
      <c r="N203" s="21"/>
      <c r="O203" s="21"/>
      <c r="P203" s="21"/>
      <c r="Q203" s="21"/>
      <c r="R203" s="40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102</v>
      </c>
      <c r="B204" s="59" t="s">
        <v>103</v>
      </c>
      <c r="C204" s="28">
        <f>SUMIFS($E$94:$E$197,$B$94:$B$197,"FGA-3",$D$94:$D$197,"&lt;&gt;VAGO")</f>
        <v>1</v>
      </c>
      <c r="D204" s="28">
        <f>SUMIFS($E$94:$E$197,$B$94:$B$197,"FGA-3",$D$94:$D$197,"VAGO")</f>
        <v>0</v>
      </c>
      <c r="E204" s="28">
        <f t="shared" si="8"/>
        <v>1</v>
      </c>
      <c r="F204" s="32"/>
      <c r="G204" s="45">
        <f>SUMIF($B$94:$B$197,"FGA-3",$G$94:$G$197)</f>
        <v>1509.2</v>
      </c>
      <c r="H204" s="45">
        <f>SUMIF($B$94:$B$197,"FGA-3",$H$94:$H$197)</f>
        <v>364.17</v>
      </c>
      <c r="I204" s="71">
        <f>SUMIF($B$94:$B$197,"FGA-3",$I$94:$I$197)</f>
        <v>1873.3700000000001</v>
      </c>
      <c r="J204" s="21"/>
      <c r="K204" s="21"/>
      <c r="L204" s="21"/>
      <c r="M204" s="21"/>
      <c r="N204" s="21"/>
      <c r="O204" s="21"/>
      <c r="P204" s="21"/>
      <c r="Q204" s="21"/>
      <c r="R204" s="49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 spans="1:30" ht="30" x14ac:dyDescent="0.2">
      <c r="A205" s="63" t="s">
        <v>104</v>
      </c>
      <c r="B205" s="48"/>
      <c r="C205" s="35">
        <f t="shared" ref="C205:E205" si="9">SUM(C199:C204)</f>
        <v>104</v>
      </c>
      <c r="D205" s="35">
        <f t="shared" si="9"/>
        <v>0</v>
      </c>
      <c r="E205" s="35">
        <f t="shared" si="9"/>
        <v>104</v>
      </c>
      <c r="F205" s="48"/>
      <c r="G205" s="51">
        <f t="shared" ref="G205:I205" si="10">SUM(G199:G204)</f>
        <v>81969.659999999989</v>
      </c>
      <c r="H205" s="51">
        <f t="shared" si="10"/>
        <v>101441.03000000006</v>
      </c>
      <c r="I205" s="51">
        <f t="shared" si="10"/>
        <v>183410.69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3" customHeight="1" x14ac:dyDescent="0.2">
      <c r="A206" s="37"/>
      <c r="B206" s="37"/>
      <c r="C206" s="37"/>
      <c r="D206" s="37"/>
      <c r="E206" s="37"/>
      <c r="F206" s="37"/>
      <c r="G206" s="37"/>
      <c r="H206" s="37"/>
      <c r="I206" s="62"/>
      <c r="J206" s="62"/>
      <c r="K206" s="7"/>
      <c r="L206" s="62"/>
      <c r="M206" s="62"/>
      <c r="N206" s="62"/>
      <c r="O206" s="62"/>
      <c r="P206" s="62"/>
      <c r="Q206" s="62"/>
      <c r="R206" s="40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spans="1:30" ht="45" x14ac:dyDescent="0.2">
      <c r="A207" s="63"/>
      <c r="B207" s="63"/>
      <c r="C207" s="35" t="s">
        <v>105</v>
      </c>
      <c r="D207" s="35" t="s">
        <v>106</v>
      </c>
      <c r="E207" s="35" t="s">
        <v>107</v>
      </c>
      <c r="F207" s="25"/>
      <c r="G207" s="35" t="s">
        <v>108</v>
      </c>
      <c r="H207" s="35" t="s">
        <v>109</v>
      </c>
      <c r="I207" s="35" t="s">
        <v>110</v>
      </c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30" x14ac:dyDescent="0.2">
      <c r="A208" s="63" t="s">
        <v>111</v>
      </c>
      <c r="B208" s="25"/>
      <c r="C208" s="35">
        <f>SUM(C39+C90+C205)</f>
        <v>153</v>
      </c>
      <c r="D208" s="35">
        <f>SUM(D39+D90+D205)</f>
        <v>12</v>
      </c>
      <c r="E208" s="35">
        <f>SUM(E39+E90+E205)</f>
        <v>165</v>
      </c>
      <c r="F208" s="25"/>
      <c r="G208" s="51">
        <f>SUM(H39+G90+G205)</f>
        <v>145270.37999999998</v>
      </c>
      <c r="H208" s="51">
        <f>SUM(I39+H90+H205)</f>
        <v>290182.76000000007</v>
      </c>
      <c r="I208" s="51">
        <f>SUM(J39+I90+I205)</f>
        <v>453453.14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customHeight="1" x14ac:dyDescent="0.2">
      <c r="A209" s="37"/>
      <c r="B209" s="37"/>
      <c r="C209" s="37"/>
      <c r="D209" s="37"/>
      <c r="E209" s="37"/>
      <c r="F209" s="37"/>
      <c r="G209" s="37"/>
      <c r="H209" s="37"/>
      <c r="I209" s="62"/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x14ac:dyDescent="0.2">
      <c r="A210" s="100" t="s">
        <v>112</v>
      </c>
      <c r="B210" s="93"/>
      <c r="C210" s="93"/>
      <c r="D210" s="93"/>
      <c r="E210" s="93"/>
      <c r="F210" s="94"/>
      <c r="G210" s="21"/>
      <c r="H210" s="37"/>
      <c r="I210" s="37"/>
      <c r="J210" s="37"/>
      <c r="K210" s="21"/>
      <c r="L210" s="37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ht="15" customHeight="1" x14ac:dyDescent="0.2">
      <c r="A211" s="101" t="s">
        <v>113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37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482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2" t="s">
        <v>483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481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480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x14ac:dyDescent="0.2">
      <c r="A216" s="103"/>
      <c r="B216" s="96"/>
      <c r="C216" s="96"/>
      <c r="D216" s="96"/>
      <c r="E216" s="96"/>
      <c r="F216" s="96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0" t="s">
        <v>114</v>
      </c>
      <c r="B217" s="93"/>
      <c r="C217" s="93"/>
      <c r="D217" s="93"/>
      <c r="E217" s="93"/>
      <c r="F217" s="94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4" t="s">
        <v>115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92" t="s">
        <v>116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117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118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119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120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121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122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123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124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125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126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127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128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129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130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131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132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133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134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135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136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137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138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64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</row>
    <row r="242" spans="1:30" x14ac:dyDescent="0.2">
      <c r="A242" s="92" t="s">
        <v>139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140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141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142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143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144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145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146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147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148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149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150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151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152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153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154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155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ht="14.25" x14ac:dyDescent="0.2">
      <c r="A259" s="92" t="s">
        <v>156</v>
      </c>
      <c r="B259" s="93"/>
      <c r="C259" s="93"/>
      <c r="D259" s="93"/>
      <c r="E259" s="93"/>
      <c r="F259" s="94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157</v>
      </c>
      <c r="B260" s="93"/>
      <c r="C260" s="93"/>
      <c r="D260" s="93"/>
      <c r="E260" s="93"/>
      <c r="F260" s="94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158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159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160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161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162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163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164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165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166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167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168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169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170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171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172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173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174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175</v>
      </c>
      <c r="B278" s="93"/>
      <c r="C278" s="93"/>
      <c r="D278" s="93"/>
      <c r="E278" s="93"/>
      <c r="F278" s="94"/>
      <c r="G278" s="68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/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</sheetData>
  <mergeCells count="76">
    <mergeCell ref="A274:F274"/>
    <mergeCell ref="A275:F275"/>
    <mergeCell ref="A276:F276"/>
    <mergeCell ref="A277:F277"/>
    <mergeCell ref="A278:F278"/>
    <mergeCell ref="A273:F273"/>
    <mergeCell ref="A262:F262"/>
    <mergeCell ref="A263:F263"/>
    <mergeCell ref="A264:F264"/>
    <mergeCell ref="A265:F265"/>
    <mergeCell ref="A266:F266"/>
    <mergeCell ref="A267:F267"/>
    <mergeCell ref="A268:F268"/>
    <mergeCell ref="A269:F269"/>
    <mergeCell ref="A270:F270"/>
    <mergeCell ref="A271:F271"/>
    <mergeCell ref="A272:F272"/>
    <mergeCell ref="A261:F261"/>
    <mergeCell ref="A250:F250"/>
    <mergeCell ref="A251:F251"/>
    <mergeCell ref="A252:F252"/>
    <mergeCell ref="A253:F253"/>
    <mergeCell ref="A254:F254"/>
    <mergeCell ref="A255:F255"/>
    <mergeCell ref="A256:F256"/>
    <mergeCell ref="A257:F257"/>
    <mergeCell ref="A258:F258"/>
    <mergeCell ref="A259:F259"/>
    <mergeCell ref="A260:F260"/>
    <mergeCell ref="A249:F249"/>
    <mergeCell ref="A238:F238"/>
    <mergeCell ref="A239:F239"/>
    <mergeCell ref="A240:F240"/>
    <mergeCell ref="A241:F241"/>
    <mergeCell ref="A242:F242"/>
    <mergeCell ref="A243:F243"/>
    <mergeCell ref="A244:F244"/>
    <mergeCell ref="A245:F245"/>
    <mergeCell ref="A246:F246"/>
    <mergeCell ref="A247:F247"/>
    <mergeCell ref="A248:F248"/>
    <mergeCell ref="A237:F237"/>
    <mergeCell ref="A226:F226"/>
    <mergeCell ref="A227:F227"/>
    <mergeCell ref="A228:F228"/>
    <mergeCell ref="A229:F229"/>
    <mergeCell ref="A230:F230"/>
    <mergeCell ref="A231:F231"/>
    <mergeCell ref="A232:F232"/>
    <mergeCell ref="A233:F233"/>
    <mergeCell ref="A234:F234"/>
    <mergeCell ref="A235:F235"/>
    <mergeCell ref="A236:F236"/>
    <mergeCell ref="A214:F214"/>
    <mergeCell ref="A215:F215"/>
    <mergeCell ref="A225:F225"/>
    <mergeCell ref="A216:F216"/>
    <mergeCell ref="A217:F217"/>
    <mergeCell ref="A218:F218"/>
    <mergeCell ref="A219:F219"/>
    <mergeCell ref="A220:F220"/>
    <mergeCell ref="A221:F221"/>
    <mergeCell ref="A222:F222"/>
    <mergeCell ref="A223:F223"/>
    <mergeCell ref="A224:F224"/>
    <mergeCell ref="A92:I92"/>
    <mergeCell ref="A210:F210"/>
    <mergeCell ref="A211:F211"/>
    <mergeCell ref="A212:F212"/>
    <mergeCell ref="A213:F213"/>
    <mergeCell ref="A41:I41"/>
    <mergeCell ref="A1:J1"/>
    <mergeCell ref="A2:J2"/>
    <mergeCell ref="A3:J3"/>
    <mergeCell ref="B4:J4"/>
    <mergeCell ref="A5:J5"/>
  </mergeCells>
  <dataValidations count="4">
    <dataValidation type="list" allowBlank="1" sqref="B7:B26">
      <formula1>"DAS,DAS-1,DAS-2,DAS-3,DAS-4,DAS-5,CAA-1,CAA-2,CAA-3,CAA-4,CAA-5"</formula1>
    </dataValidation>
    <dataValidation type="list" allowBlank="1" sqref="B43:B83">
      <formula1>"FDA,FDA-1,FDA-2,FDA-3,FDA-4"</formula1>
    </dataValidation>
    <dataValidation type="list" allowBlank="1" sqref="D7:D26 D43:D83 D94:D197">
      <formula1>"AGP,CLH,CLT,COM,CTD,CTI,DES,DISP,ELE,ESG,EST,EXM,EXQ,EXR,FRQ,REV,VAGO"</formula1>
    </dataValidation>
    <dataValidation type="list" allowBlank="1" sqref="B94:B197">
      <formula1>"FGS-1,FGS-2,FGS-3,FGA-1,FGA-2,FGA-3"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8"/>
  <sheetViews>
    <sheetView zoomScale="90" zoomScaleNormal="90" workbookViewId="0">
      <selection activeCell="C26" sqref="C26"/>
    </sheetView>
  </sheetViews>
  <sheetFormatPr defaultColWidth="12.625" defaultRowHeight="15" customHeight="1" x14ac:dyDescent="0.2"/>
  <cols>
    <col min="1" max="1" width="69.75" style="74" bestFit="1" customWidth="1"/>
    <col min="2" max="2" width="9.75" style="74" bestFit="1" customWidth="1"/>
    <col min="3" max="3" width="24" style="74" bestFit="1" customWidth="1"/>
    <col min="4" max="4" width="12.25" style="74" bestFit="1" customWidth="1"/>
    <col min="5" max="5" width="9.25" style="74" bestFit="1" customWidth="1"/>
    <col min="6" max="6" width="44.125" style="74" bestFit="1" customWidth="1"/>
    <col min="7" max="7" width="17.5" style="74" bestFit="1" customWidth="1"/>
    <col min="8" max="8" width="17.875" style="74" bestFit="1" customWidth="1"/>
    <col min="9" max="9" width="17.875" style="74" customWidth="1"/>
    <col min="10" max="10" width="11.75" style="74" bestFit="1" customWidth="1"/>
    <col min="11" max="16" width="8" style="74" customWidth="1"/>
    <col min="17" max="17" width="43.875" style="74" customWidth="1"/>
    <col min="18" max="30" width="8" style="74" customWidth="1"/>
    <col min="31" max="16384" width="12.625" style="74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492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47" t="s">
        <v>180</v>
      </c>
      <c r="B8" s="57" t="s">
        <v>29</v>
      </c>
      <c r="C8" s="57" t="s">
        <v>178</v>
      </c>
      <c r="D8" s="57" t="s">
        <v>181</v>
      </c>
      <c r="E8" s="46">
        <v>1</v>
      </c>
      <c r="F8" s="47" t="s">
        <v>212</v>
      </c>
      <c r="G8" s="44">
        <v>0</v>
      </c>
      <c r="H8" s="44">
        <v>0</v>
      </c>
      <c r="I8" s="44">
        <v>5703.56</v>
      </c>
      <c r="J8" s="45">
        <f t="shared" si="0"/>
        <v>5703.56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72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182</v>
      </c>
      <c r="B11" s="57" t="s">
        <v>41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184</v>
      </c>
      <c r="B12" s="57" t="s">
        <v>43</v>
      </c>
      <c r="C12" s="57" t="s">
        <v>178</v>
      </c>
      <c r="D12" s="57" t="s">
        <v>183</v>
      </c>
      <c r="E12" s="46">
        <v>1</v>
      </c>
      <c r="F12" s="47" t="s">
        <v>183</v>
      </c>
      <c r="G12" s="44">
        <v>0</v>
      </c>
      <c r="H12" s="44">
        <v>0</v>
      </c>
      <c r="I12" s="44">
        <v>0</v>
      </c>
      <c r="J12" s="45">
        <f t="shared" si="0"/>
        <v>0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185</v>
      </c>
      <c r="B13" s="57" t="s">
        <v>33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186</v>
      </c>
      <c r="B14" s="57" t="s">
        <v>39</v>
      </c>
      <c r="C14" s="57" t="s">
        <v>178</v>
      </c>
      <c r="D14" s="57" t="s">
        <v>183</v>
      </c>
      <c r="E14" s="46">
        <v>1</v>
      </c>
      <c r="F14" s="47" t="s">
        <v>183</v>
      </c>
      <c r="G14" s="44">
        <v>0</v>
      </c>
      <c r="H14" s="44">
        <v>0</v>
      </c>
      <c r="I14" s="44">
        <v>0</v>
      </c>
      <c r="J14" s="45">
        <f t="shared" si="0"/>
        <v>0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187</v>
      </c>
      <c r="B15" s="57" t="s">
        <v>37</v>
      </c>
      <c r="C15" s="57" t="s">
        <v>178</v>
      </c>
      <c r="D15" s="57" t="s">
        <v>188</v>
      </c>
      <c r="E15" s="46">
        <v>1</v>
      </c>
      <c r="F15" s="47" t="s">
        <v>213</v>
      </c>
      <c r="G15" s="44">
        <v>0</v>
      </c>
      <c r="H15" s="44">
        <v>0</v>
      </c>
      <c r="I15" s="44">
        <v>3083.01</v>
      </c>
      <c r="J15" s="45">
        <f t="shared" si="0"/>
        <v>3083.01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189</v>
      </c>
      <c r="B16" s="57" t="s">
        <v>39</v>
      </c>
      <c r="C16" s="57" t="s">
        <v>190</v>
      </c>
      <c r="D16" s="57" t="s">
        <v>183</v>
      </c>
      <c r="E16" s="46">
        <v>1</v>
      </c>
      <c r="F16" s="47" t="s">
        <v>183</v>
      </c>
      <c r="G16" s="44">
        <v>0</v>
      </c>
      <c r="H16" s="44">
        <v>0</v>
      </c>
      <c r="I16" s="44">
        <v>0</v>
      </c>
      <c r="J16" s="45">
        <f t="shared" si="0"/>
        <v>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47" t="s">
        <v>191</v>
      </c>
      <c r="B17" s="57" t="s">
        <v>25</v>
      </c>
      <c r="C17" s="57" t="s">
        <v>192</v>
      </c>
      <c r="D17" s="57" t="s">
        <v>181</v>
      </c>
      <c r="E17" s="46">
        <v>1</v>
      </c>
      <c r="F17" s="47" t="s">
        <v>214</v>
      </c>
      <c r="G17" s="44">
        <v>0</v>
      </c>
      <c r="H17" s="44">
        <v>0</v>
      </c>
      <c r="I17" s="44">
        <v>10400</v>
      </c>
      <c r="J17" s="45">
        <f t="shared" si="0"/>
        <v>10400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57" t="s">
        <v>188</v>
      </c>
      <c r="E19" s="46">
        <v>1</v>
      </c>
      <c r="F19" s="47" t="s">
        <v>486</v>
      </c>
      <c r="G19" s="44">
        <v>0</v>
      </c>
      <c r="H19" s="44">
        <v>0</v>
      </c>
      <c r="I19" s="44">
        <v>4316.21</v>
      </c>
      <c r="J19" s="45">
        <f t="shared" si="0"/>
        <v>4316.21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183</v>
      </c>
      <c r="E21" s="46">
        <v>1</v>
      </c>
      <c r="F21" s="47" t="s">
        <v>183</v>
      </c>
      <c r="G21" s="44">
        <v>0</v>
      </c>
      <c r="H21" s="44">
        <v>0</v>
      </c>
      <c r="I21" s="44">
        <v>0</v>
      </c>
      <c r="J21" s="45">
        <f t="shared" si="0"/>
        <v>0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183</v>
      </c>
      <c r="E22" s="46">
        <v>1</v>
      </c>
      <c r="F22" s="47" t="s">
        <v>183</v>
      </c>
      <c r="G22" s="44">
        <v>0</v>
      </c>
      <c r="H22" s="44">
        <v>0</v>
      </c>
      <c r="I22" s="44">
        <v>0</v>
      </c>
      <c r="J22" s="45">
        <f t="shared" si="0"/>
        <v>0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57" t="s">
        <v>199</v>
      </c>
      <c r="E23" s="46">
        <v>1</v>
      </c>
      <c r="F23" s="72" t="s">
        <v>489</v>
      </c>
      <c r="G23" s="44">
        <v>0</v>
      </c>
      <c r="H23" s="44">
        <v>1509.2</v>
      </c>
      <c r="I23" s="44">
        <v>3083.01</v>
      </c>
      <c r="J23" s="45">
        <f t="shared" si="0"/>
        <v>4592.21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183</v>
      </c>
      <c r="E26" s="46">
        <v>1</v>
      </c>
      <c r="F26" s="47" t="s">
        <v>183</v>
      </c>
      <c r="G26" s="44">
        <v>0</v>
      </c>
      <c r="H26" s="44">
        <v>0</v>
      </c>
      <c r="I26" s="44">
        <v>0</v>
      </c>
      <c r="J26" s="45">
        <f t="shared" si="0"/>
        <v>0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1</v>
      </c>
      <c r="D29" s="28">
        <f>SUMIFS($E$7:$E$26,$B$7:$B$26,"DAS-1",$D$7:$D$26,"VAGO")</f>
        <v>0</v>
      </c>
      <c r="E29" s="28">
        <f t="shared" si="1"/>
        <v>1</v>
      </c>
      <c r="F29" s="32"/>
      <c r="G29" s="30">
        <f>SUMIF($B$7:$B$26,"DAS-1",$G$7:$G$26)</f>
        <v>0</v>
      </c>
      <c r="H29" s="30">
        <f>SUMIF($B$7:$B$26,"DAS-1",$H$7:$H$26)</f>
        <v>0</v>
      </c>
      <c r="I29" s="30">
        <f>SUMIF($B$7:$B$26,"DAS-1",$I$7:$I$26)</f>
        <v>10400</v>
      </c>
      <c r="J29" s="30">
        <f>SUMIF($B$7:$B$26,"DAS-1",$J$7:$J$26)</f>
        <v>10400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1</v>
      </c>
      <c r="D31" s="28">
        <f>SUMIFS($E$7:$E$26,$B$7:$B$26,"DAS-3",$D$7:$D$26,"VAGO")</f>
        <v>0</v>
      </c>
      <c r="E31" s="28">
        <f t="shared" si="1"/>
        <v>1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5703.56</v>
      </c>
      <c r="J31" s="30">
        <f>SUMIF($B$7:$B$26,"DAS-3",$J$7:$J$26)</f>
        <v>5703.56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0</v>
      </c>
      <c r="D32" s="28">
        <f>SUMIFS($E$7:$E$26,$B$7:$B$26,"DAS-4",$D$7:$D$26,"VAGO")</f>
        <v>1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0</v>
      </c>
      <c r="I32" s="30">
        <f>SUMIF($B$7:$B$26,"DAS-4",$I$7:$I$26)</f>
        <v>0</v>
      </c>
      <c r="J32" s="30">
        <f>SUMIF($B$7:$B$26,"DAS-4",$J$7:$J$26)</f>
        <v>0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3</v>
      </c>
      <c r="D33" s="28">
        <f>SUMIFS($E$7:$E$26,$B$7:$B$26,"DAS-5",$D$7:$D$26,"VAGO")</f>
        <v>2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1109.1600000000001</v>
      </c>
      <c r="I33" s="30">
        <f>SUMIF($B$7:$B$26,"DAS-5",$I$7:$I$26)</f>
        <v>12948.630000000001</v>
      </c>
      <c r="J33" s="30">
        <f>SUMIF($B$7:$B$26,"DAS-5",$J$7:$J$26)</f>
        <v>14057.79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3</v>
      </c>
      <c r="D35" s="28">
        <f>SUMIFS($E$7:$E$26,$B$7:$B$26,"CAA-2",$D$7:$D$26,"VAGO")</f>
        <v>2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26441.64</v>
      </c>
      <c r="I35" s="30">
        <f>SUMIF($B$7:$B$26,"CAA-2",$I$7:$I$26)</f>
        <v>9249.0300000000007</v>
      </c>
      <c r="J35" s="30">
        <f>SUMIF($B$7:$B$26,"CAA-2",$J$7:$J$26)</f>
        <v>35690.67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9</v>
      </c>
      <c r="D39" s="35">
        <f>SUM(D28:D38)</f>
        <v>11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27550.799999999999</v>
      </c>
      <c r="I39" s="36">
        <f t="shared" si="2"/>
        <v>38301.22</v>
      </c>
      <c r="J39" s="36">
        <f t="shared" si="2"/>
        <v>83852.01999999999</v>
      </c>
      <c r="K39" s="37"/>
      <c r="L39" s="37"/>
      <c r="M39" s="37"/>
      <c r="N39" s="37"/>
      <c r="O39" s="37"/>
      <c r="P39" s="37"/>
      <c r="Q39" s="37"/>
    </row>
    <row r="40" spans="1:30" ht="45.75" customHeight="1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3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222</v>
      </c>
      <c r="B44" s="42" t="s">
        <v>68</v>
      </c>
      <c r="C44" s="57" t="s">
        <v>223</v>
      </c>
      <c r="D44" s="57" t="s">
        <v>199</v>
      </c>
      <c r="E44" s="46">
        <v>1</v>
      </c>
      <c r="F44" s="43" t="s">
        <v>301</v>
      </c>
      <c r="G44" s="44">
        <v>16704.73</v>
      </c>
      <c r="H44" s="44">
        <v>5241.1099999999997</v>
      </c>
      <c r="I44" s="45">
        <f t="shared" si="3"/>
        <v>21945.84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47" t="s">
        <v>224</v>
      </c>
      <c r="B45" s="42" t="s">
        <v>72</v>
      </c>
      <c r="C45" s="57" t="s">
        <v>225</v>
      </c>
      <c r="D45" s="57" t="s">
        <v>181</v>
      </c>
      <c r="E45" s="46">
        <v>1</v>
      </c>
      <c r="F45" s="47" t="s">
        <v>302</v>
      </c>
      <c r="G45" s="44">
        <v>0</v>
      </c>
      <c r="H45" s="44">
        <v>3083.01</v>
      </c>
      <c r="I45" s="45">
        <f t="shared" si="3"/>
        <v>3083.01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226</v>
      </c>
      <c r="B46" s="42" t="s">
        <v>66</v>
      </c>
      <c r="C46" s="57" t="s">
        <v>227</v>
      </c>
      <c r="D46" s="57" t="s">
        <v>181</v>
      </c>
      <c r="E46" s="46">
        <v>1</v>
      </c>
      <c r="F46" s="47" t="s">
        <v>303</v>
      </c>
      <c r="G46" s="44">
        <v>0</v>
      </c>
      <c r="H46" s="44">
        <v>5703.56</v>
      </c>
      <c r="I46" s="45">
        <f t="shared" si="3"/>
        <v>5703.56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228</v>
      </c>
      <c r="B47" s="42" t="s">
        <v>72</v>
      </c>
      <c r="C47" s="57" t="s">
        <v>229</v>
      </c>
      <c r="D47" s="57" t="s">
        <v>181</v>
      </c>
      <c r="E47" s="46">
        <v>1</v>
      </c>
      <c r="F47" s="47" t="s">
        <v>304</v>
      </c>
      <c r="G47" s="44">
        <v>0</v>
      </c>
      <c r="H47" s="44">
        <v>3083.01</v>
      </c>
      <c r="I47" s="45">
        <f t="shared" si="3"/>
        <v>3083.01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230</v>
      </c>
      <c r="B48" s="42" t="s">
        <v>68</v>
      </c>
      <c r="C48" s="57" t="s">
        <v>231</v>
      </c>
      <c r="D48" s="57" t="s">
        <v>199</v>
      </c>
      <c r="E48" s="46">
        <v>1</v>
      </c>
      <c r="F48" s="47" t="s">
        <v>305</v>
      </c>
      <c r="G48" s="44">
        <v>16704.73</v>
      </c>
      <c r="H48" s="44">
        <v>5241.1099999999997</v>
      </c>
      <c r="I48" s="45">
        <f t="shared" si="3"/>
        <v>21945.84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232</v>
      </c>
      <c r="B49" s="42" t="s">
        <v>68</v>
      </c>
      <c r="C49" s="57" t="s">
        <v>233</v>
      </c>
      <c r="D49" s="57" t="s">
        <v>181</v>
      </c>
      <c r="E49" s="46">
        <v>1</v>
      </c>
      <c r="F49" s="47" t="s">
        <v>306</v>
      </c>
      <c r="G49" s="44">
        <v>0</v>
      </c>
      <c r="H49" s="44">
        <v>5241.1099999999997</v>
      </c>
      <c r="I49" s="45">
        <f t="shared" si="3"/>
        <v>5241.1099999999997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234</v>
      </c>
      <c r="B50" s="42" t="s">
        <v>68</v>
      </c>
      <c r="C50" s="57" t="s">
        <v>223</v>
      </c>
      <c r="D50" s="57" t="s">
        <v>183</v>
      </c>
      <c r="E50" s="46">
        <v>1</v>
      </c>
      <c r="F50" s="76" t="s">
        <v>183</v>
      </c>
      <c r="G50" s="44">
        <v>0</v>
      </c>
      <c r="H50" s="44">
        <v>0</v>
      </c>
      <c r="I50" s="45">
        <f t="shared" si="3"/>
        <v>0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235</v>
      </c>
      <c r="B51" s="42" t="s">
        <v>66</v>
      </c>
      <c r="C51" s="57" t="s">
        <v>236</v>
      </c>
      <c r="D51" s="57" t="s">
        <v>181</v>
      </c>
      <c r="E51" s="46">
        <v>1</v>
      </c>
      <c r="F51" s="47" t="s">
        <v>308</v>
      </c>
      <c r="G51" s="44">
        <v>0</v>
      </c>
      <c r="H51" s="44">
        <v>5703.56</v>
      </c>
      <c r="I51" s="45">
        <f t="shared" si="3"/>
        <v>5703.56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237</v>
      </c>
      <c r="B52" s="42" t="s">
        <v>72</v>
      </c>
      <c r="C52" s="57" t="s">
        <v>238</v>
      </c>
      <c r="D52" s="57" t="s">
        <v>181</v>
      </c>
      <c r="E52" s="46">
        <v>1</v>
      </c>
      <c r="F52" s="47" t="s">
        <v>309</v>
      </c>
      <c r="G52" s="44">
        <v>0</v>
      </c>
      <c r="H52" s="44">
        <v>3083.01</v>
      </c>
      <c r="I52" s="45">
        <f t="shared" si="3"/>
        <v>3083.01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239</v>
      </c>
      <c r="B53" s="42" t="s">
        <v>72</v>
      </c>
      <c r="C53" s="57" t="s">
        <v>240</v>
      </c>
      <c r="D53" s="57" t="s">
        <v>181</v>
      </c>
      <c r="E53" s="46">
        <v>1</v>
      </c>
      <c r="F53" s="47" t="s">
        <v>310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241</v>
      </c>
      <c r="B54" s="42" t="s">
        <v>72</v>
      </c>
      <c r="C54" s="57" t="s">
        <v>242</v>
      </c>
      <c r="D54" s="57" t="s">
        <v>181</v>
      </c>
      <c r="E54" s="46">
        <v>1</v>
      </c>
      <c r="F54" s="47" t="s">
        <v>311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243</v>
      </c>
      <c r="B55" s="42" t="s">
        <v>72</v>
      </c>
      <c r="C55" s="57" t="s">
        <v>244</v>
      </c>
      <c r="D55" s="57" t="s">
        <v>181</v>
      </c>
      <c r="E55" s="46">
        <v>1</v>
      </c>
      <c r="F55" s="47" t="s">
        <v>312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245</v>
      </c>
      <c r="B56" s="42" t="s">
        <v>72</v>
      </c>
      <c r="C56" s="57" t="s">
        <v>246</v>
      </c>
      <c r="D56" s="57" t="s">
        <v>181</v>
      </c>
      <c r="E56" s="46">
        <v>1</v>
      </c>
      <c r="F56" s="47" t="s">
        <v>313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247</v>
      </c>
      <c r="B57" s="42" t="s">
        <v>66</v>
      </c>
      <c r="C57" s="57" t="s">
        <v>248</v>
      </c>
      <c r="D57" s="57" t="s">
        <v>181</v>
      </c>
      <c r="E57" s="46">
        <v>1</v>
      </c>
      <c r="F57" s="76" t="s">
        <v>317</v>
      </c>
      <c r="G57" s="44">
        <v>0</v>
      </c>
      <c r="H57" s="44">
        <v>5703.56</v>
      </c>
      <c r="I57" s="45">
        <f t="shared" si="3"/>
        <v>5703.56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249</v>
      </c>
      <c r="B58" s="42" t="s">
        <v>72</v>
      </c>
      <c r="C58" s="57" t="s">
        <v>250</v>
      </c>
      <c r="D58" s="57" t="s">
        <v>181</v>
      </c>
      <c r="E58" s="46">
        <v>1</v>
      </c>
      <c r="F58" s="47" t="s">
        <v>315</v>
      </c>
      <c r="G58" s="44">
        <v>0</v>
      </c>
      <c r="H58" s="44">
        <v>3083.01</v>
      </c>
      <c r="I58" s="45">
        <f t="shared" si="3"/>
        <v>3083.01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251</v>
      </c>
      <c r="B59" s="42" t="s">
        <v>72</v>
      </c>
      <c r="C59" s="57" t="s">
        <v>252</v>
      </c>
      <c r="D59" s="57" t="s">
        <v>199</v>
      </c>
      <c r="E59" s="46">
        <v>1</v>
      </c>
      <c r="F59" s="47" t="s">
        <v>316</v>
      </c>
      <c r="G59" s="44">
        <v>831.26</v>
      </c>
      <c r="H59" s="44">
        <v>3083.01</v>
      </c>
      <c r="I59" s="45">
        <f t="shared" si="3"/>
        <v>3914.2700000000004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253</v>
      </c>
      <c r="B60" s="42" t="s">
        <v>70</v>
      </c>
      <c r="C60" s="57" t="s">
        <v>254</v>
      </c>
      <c r="D60" s="77" t="s">
        <v>181</v>
      </c>
      <c r="E60" s="46">
        <v>1</v>
      </c>
      <c r="F60" s="76" t="s">
        <v>217</v>
      </c>
      <c r="G60" s="44">
        <v>0</v>
      </c>
      <c r="H60" s="44">
        <v>4316.21</v>
      </c>
      <c r="I60" s="45">
        <f t="shared" si="3"/>
        <v>4316.21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255</v>
      </c>
      <c r="B61" s="42" t="s">
        <v>72</v>
      </c>
      <c r="C61" s="57" t="s">
        <v>256</v>
      </c>
      <c r="D61" s="57" t="s">
        <v>181</v>
      </c>
      <c r="E61" s="46">
        <v>1</v>
      </c>
      <c r="F61" s="47" t="s">
        <v>318</v>
      </c>
      <c r="G61" s="44">
        <v>0</v>
      </c>
      <c r="H61" s="44">
        <v>3083.01</v>
      </c>
      <c r="I61" s="45">
        <f t="shared" si="3"/>
        <v>3083.01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257</v>
      </c>
      <c r="B62" s="42" t="s">
        <v>72</v>
      </c>
      <c r="C62" s="57" t="s">
        <v>258</v>
      </c>
      <c r="D62" s="57" t="s">
        <v>181</v>
      </c>
      <c r="E62" s="46">
        <v>1</v>
      </c>
      <c r="F62" s="47" t="s">
        <v>319</v>
      </c>
      <c r="G62" s="44">
        <v>0</v>
      </c>
      <c r="H62" s="44">
        <v>3083.01</v>
      </c>
      <c r="I62" s="45">
        <f t="shared" si="3"/>
        <v>3083.01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259</v>
      </c>
      <c r="B63" s="42" t="s">
        <v>66</v>
      </c>
      <c r="C63" s="57" t="s">
        <v>260</v>
      </c>
      <c r="D63" s="57" t="s">
        <v>181</v>
      </c>
      <c r="E63" s="46">
        <v>1</v>
      </c>
      <c r="F63" s="47" t="s">
        <v>320</v>
      </c>
      <c r="G63" s="44">
        <v>0</v>
      </c>
      <c r="H63" s="44">
        <v>5703.56</v>
      </c>
      <c r="I63" s="45">
        <f t="shared" si="3"/>
        <v>5703.56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261</v>
      </c>
      <c r="B64" s="42" t="s">
        <v>72</v>
      </c>
      <c r="C64" s="57" t="s">
        <v>262</v>
      </c>
      <c r="D64" s="57" t="s">
        <v>181</v>
      </c>
      <c r="E64" s="46">
        <v>1</v>
      </c>
      <c r="F64" s="47" t="s">
        <v>321</v>
      </c>
      <c r="G64" s="44">
        <v>0</v>
      </c>
      <c r="H64" s="44">
        <v>3083.01</v>
      </c>
      <c r="I64" s="45">
        <f t="shared" si="3"/>
        <v>3083.01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263</v>
      </c>
      <c r="B65" s="42" t="s">
        <v>72</v>
      </c>
      <c r="C65" s="57" t="s">
        <v>264</v>
      </c>
      <c r="D65" s="57" t="s">
        <v>181</v>
      </c>
      <c r="E65" s="46">
        <v>1</v>
      </c>
      <c r="F65" s="47" t="s">
        <v>322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265</v>
      </c>
      <c r="B66" s="42" t="s">
        <v>72</v>
      </c>
      <c r="C66" s="57" t="s">
        <v>266</v>
      </c>
      <c r="D66" s="57" t="s">
        <v>181</v>
      </c>
      <c r="E66" s="46">
        <v>1</v>
      </c>
      <c r="F66" s="47" t="s">
        <v>323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267</v>
      </c>
      <c r="B67" s="42" t="s">
        <v>72</v>
      </c>
      <c r="C67" s="57" t="s">
        <v>268</v>
      </c>
      <c r="D67" s="57" t="s">
        <v>181</v>
      </c>
      <c r="E67" s="46">
        <v>1</v>
      </c>
      <c r="F67" s="47" t="s">
        <v>324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269</v>
      </c>
      <c r="B68" s="42" t="s">
        <v>72</v>
      </c>
      <c r="C68" s="57" t="s">
        <v>270</v>
      </c>
      <c r="D68" s="57" t="s">
        <v>181</v>
      </c>
      <c r="E68" s="46">
        <v>1</v>
      </c>
      <c r="F68" s="47" t="s">
        <v>325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271</v>
      </c>
      <c r="B69" s="42" t="s">
        <v>72</v>
      </c>
      <c r="C69" s="57" t="s">
        <v>272</v>
      </c>
      <c r="D69" s="57" t="s">
        <v>181</v>
      </c>
      <c r="E69" s="46">
        <v>1</v>
      </c>
      <c r="F69" s="47" t="s">
        <v>326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273</v>
      </c>
      <c r="B70" s="42" t="s">
        <v>72</v>
      </c>
      <c r="C70" s="57" t="s">
        <v>274</v>
      </c>
      <c r="D70" s="57" t="s">
        <v>181</v>
      </c>
      <c r="E70" s="46">
        <v>1</v>
      </c>
      <c r="F70" s="47" t="s">
        <v>327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275</v>
      </c>
      <c r="B71" s="42" t="s">
        <v>72</v>
      </c>
      <c r="C71" s="57" t="s">
        <v>260</v>
      </c>
      <c r="D71" s="57" t="s">
        <v>181</v>
      </c>
      <c r="E71" s="46">
        <v>1</v>
      </c>
      <c r="F71" s="47" t="s">
        <v>328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276</v>
      </c>
      <c r="B72" s="42" t="s">
        <v>72</v>
      </c>
      <c r="C72" s="57" t="s">
        <v>277</v>
      </c>
      <c r="D72" s="57" t="s">
        <v>181</v>
      </c>
      <c r="E72" s="46">
        <v>1</v>
      </c>
      <c r="F72" s="47" t="s">
        <v>329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278</v>
      </c>
      <c r="B73" s="42" t="s">
        <v>72</v>
      </c>
      <c r="C73" s="57" t="s">
        <v>279</v>
      </c>
      <c r="D73" s="57" t="s">
        <v>181</v>
      </c>
      <c r="E73" s="46">
        <v>1</v>
      </c>
      <c r="F73" s="47" t="s">
        <v>330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280</v>
      </c>
      <c r="B74" s="42" t="s">
        <v>66</v>
      </c>
      <c r="C74" s="57" t="s">
        <v>281</v>
      </c>
      <c r="D74" s="57" t="s">
        <v>181</v>
      </c>
      <c r="E74" s="46">
        <v>1</v>
      </c>
      <c r="F74" s="47" t="s">
        <v>331</v>
      </c>
      <c r="G74" s="44">
        <v>0</v>
      </c>
      <c r="H74" s="44">
        <v>5703.56</v>
      </c>
      <c r="I74" s="45">
        <f t="shared" si="3"/>
        <v>5703.56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282</v>
      </c>
      <c r="B75" s="42" t="s">
        <v>72</v>
      </c>
      <c r="C75" s="57" t="s">
        <v>283</v>
      </c>
      <c r="D75" s="57" t="s">
        <v>181</v>
      </c>
      <c r="E75" s="46">
        <v>1</v>
      </c>
      <c r="F75" s="47" t="s">
        <v>332</v>
      </c>
      <c r="G75" s="44">
        <v>0</v>
      </c>
      <c r="H75" s="44">
        <v>3083.01</v>
      </c>
      <c r="I75" s="45">
        <f t="shared" si="3"/>
        <v>3083.01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284</v>
      </c>
      <c r="B76" s="42" t="s">
        <v>72</v>
      </c>
      <c r="C76" s="57" t="s">
        <v>285</v>
      </c>
      <c r="D76" s="57" t="s">
        <v>181</v>
      </c>
      <c r="E76" s="46">
        <v>1</v>
      </c>
      <c r="F76" s="47" t="s">
        <v>333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286</v>
      </c>
      <c r="B77" s="42" t="s">
        <v>72</v>
      </c>
      <c r="C77" s="57" t="s">
        <v>287</v>
      </c>
      <c r="D77" s="57" t="s">
        <v>181</v>
      </c>
      <c r="E77" s="46">
        <v>1</v>
      </c>
      <c r="F77" s="47" t="s">
        <v>334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288</v>
      </c>
      <c r="B78" s="42" t="s">
        <v>70</v>
      </c>
      <c r="C78" s="57" t="s">
        <v>289</v>
      </c>
      <c r="D78" s="57" t="s">
        <v>181</v>
      </c>
      <c r="E78" s="46">
        <v>1</v>
      </c>
      <c r="F78" s="47" t="s">
        <v>335</v>
      </c>
      <c r="G78" s="44">
        <v>0</v>
      </c>
      <c r="H78" s="44">
        <v>4316.21</v>
      </c>
      <c r="I78" s="45">
        <f t="shared" si="3"/>
        <v>4316.21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290</v>
      </c>
      <c r="B79" s="42" t="s">
        <v>66</v>
      </c>
      <c r="C79" s="57" t="s">
        <v>291</v>
      </c>
      <c r="D79" s="57" t="s">
        <v>181</v>
      </c>
      <c r="E79" s="46">
        <v>1</v>
      </c>
      <c r="F79" s="47" t="s">
        <v>336</v>
      </c>
      <c r="G79" s="44">
        <v>0</v>
      </c>
      <c r="H79" s="44">
        <v>5703.56</v>
      </c>
      <c r="I79" s="45">
        <f t="shared" si="3"/>
        <v>5703.56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292</v>
      </c>
      <c r="B80" s="42" t="s">
        <v>72</v>
      </c>
      <c r="C80" s="57" t="s">
        <v>293</v>
      </c>
      <c r="D80" s="57" t="s">
        <v>199</v>
      </c>
      <c r="E80" s="46">
        <v>1</v>
      </c>
      <c r="F80" s="47" t="s">
        <v>337</v>
      </c>
      <c r="G80" s="44">
        <v>1509.2</v>
      </c>
      <c r="H80" s="44">
        <v>3083.01</v>
      </c>
      <c r="I80" s="45">
        <f t="shared" si="3"/>
        <v>4592.21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294</v>
      </c>
      <c r="B81" s="42" t="s">
        <v>72</v>
      </c>
      <c r="C81" s="57" t="s">
        <v>295</v>
      </c>
      <c r="D81" s="57" t="s">
        <v>183</v>
      </c>
      <c r="E81" s="46">
        <v>1</v>
      </c>
      <c r="F81" s="47" t="s">
        <v>183</v>
      </c>
      <c r="G81" s="44">
        <v>0</v>
      </c>
      <c r="H81" s="44">
        <v>0</v>
      </c>
      <c r="I81" s="45">
        <f t="shared" si="3"/>
        <v>0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296</v>
      </c>
      <c r="B82" s="42" t="s">
        <v>72</v>
      </c>
      <c r="C82" s="57" t="s">
        <v>297</v>
      </c>
      <c r="D82" s="57" t="s">
        <v>199</v>
      </c>
      <c r="E82" s="46">
        <v>1</v>
      </c>
      <c r="F82" s="47" t="s">
        <v>338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298</v>
      </c>
      <c r="B83" s="42" t="s">
        <v>68</v>
      </c>
      <c r="C83" s="57" t="s">
        <v>299</v>
      </c>
      <c r="D83" s="57" t="s">
        <v>181</v>
      </c>
      <c r="E83" s="46">
        <v>1</v>
      </c>
      <c r="F83" s="47" t="s">
        <v>339</v>
      </c>
      <c r="G83" s="44">
        <v>0</v>
      </c>
      <c r="H83" s="44">
        <v>5241.1099999999997</v>
      </c>
      <c r="I83" s="45">
        <f t="shared" si="3"/>
        <v>5241.1099999999997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45" x14ac:dyDescent="0.2">
      <c r="A84" s="63" t="s">
        <v>55</v>
      </c>
      <c r="B84" s="63" t="s">
        <v>56</v>
      </c>
      <c r="C84" s="35" t="s">
        <v>57</v>
      </c>
      <c r="D84" s="35" t="s">
        <v>58</v>
      </c>
      <c r="E84" s="35" t="s">
        <v>59</v>
      </c>
      <c r="F84" s="48"/>
      <c r="G84" s="35" t="s">
        <v>60</v>
      </c>
      <c r="H84" s="35" t="s">
        <v>61</v>
      </c>
      <c r="I84" s="35" t="s">
        <v>62</v>
      </c>
      <c r="J84" s="37"/>
      <c r="K84" s="7"/>
      <c r="L84" s="7"/>
      <c r="M84" s="7"/>
      <c r="N84" s="7"/>
      <c r="O84" s="7"/>
      <c r="P84" s="7"/>
      <c r="Q84" s="7"/>
      <c r="R84" s="4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1:30" x14ac:dyDescent="0.2">
      <c r="A85" s="58" t="s">
        <v>63</v>
      </c>
      <c r="B85" s="59" t="s">
        <v>64</v>
      </c>
      <c r="C85" s="28">
        <f>SUMIFS($E$43:$E$83,$B$43:$B$83,"FDA",$D$43:$D$83,"&lt;&gt;VAGO")</f>
        <v>0</v>
      </c>
      <c r="D85" s="28">
        <f>SUMIFS($E$43:$E$83,$B$43:$B$83,"FDA",$D$43:$D$83,"VAGO")</f>
        <v>0</v>
      </c>
      <c r="E85" s="28">
        <f t="shared" ref="E85:E89" si="4">C85+D85</f>
        <v>0</v>
      </c>
      <c r="F85" s="29"/>
      <c r="G85" s="45">
        <f>SUMIF($B$43:$B$83,"FDA",$G$43:$G$83)</f>
        <v>0</v>
      </c>
      <c r="H85" s="45">
        <f>SUMIF($B$43:$B$83,"FDA",$H$43:$H$83)</f>
        <v>0</v>
      </c>
      <c r="I85" s="45">
        <f>SUMIF($B$43:$B$83,"FDA",$I$43:$I$83)</f>
        <v>0</v>
      </c>
      <c r="J85" s="21"/>
      <c r="K85" s="7"/>
      <c r="L85" s="21"/>
      <c r="M85" s="21"/>
      <c r="N85" s="21"/>
      <c r="O85" s="21"/>
      <c r="P85" s="21"/>
      <c r="Q85" s="21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x14ac:dyDescent="0.2">
      <c r="A86" s="58" t="s">
        <v>65</v>
      </c>
      <c r="B86" s="59" t="s">
        <v>66</v>
      </c>
      <c r="C86" s="28">
        <f>SUMIFS($E$43:$E$83,$B$43:$B$83,"FDA-1",$D$43:$D$83,"&lt;&gt;VAGO")</f>
        <v>6</v>
      </c>
      <c r="D86" s="28">
        <f>SUMIFS($E$43:$E$83,$B$43:$B$83,"FDA-1",$D$43:$D$83,"VAGO")</f>
        <v>0</v>
      </c>
      <c r="E86" s="28">
        <f t="shared" si="4"/>
        <v>6</v>
      </c>
      <c r="F86" s="29"/>
      <c r="G86" s="45">
        <f>SUMIF($B$43:$B$83,"FDA-1",$G$43:$G$83)</f>
        <v>0</v>
      </c>
      <c r="H86" s="45">
        <f>SUMIF($B$43:$B$83,"FDA-1",$H$43:$H$83)</f>
        <v>34221.360000000001</v>
      </c>
      <c r="I86" s="45">
        <f>SUMIF($B$43:$B$83,"FDA-1",$I$43:$I$83)</f>
        <v>34221.360000000001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67</v>
      </c>
      <c r="B87" s="59" t="s">
        <v>68</v>
      </c>
      <c r="C87" s="28">
        <f>SUMIFS($E$43:$E$83,$B$43:$B$83,"FDA-2",$D$43:$D$83,"&lt;&gt;VAGO")</f>
        <v>5</v>
      </c>
      <c r="D87" s="28">
        <f>SUMIFS($E$43:$E$83,$B$43:$B$83,"FDA-2",$D$43:$D$83,"VAGO")</f>
        <v>1</v>
      </c>
      <c r="E87" s="28">
        <f t="shared" si="4"/>
        <v>6</v>
      </c>
      <c r="F87" s="32"/>
      <c r="G87" s="45">
        <f>SUMIF($B$43:$B$83,"FDA-2",$G$43:$G$83)</f>
        <v>33409.46</v>
      </c>
      <c r="H87" s="45">
        <f>SUMIF($B$43:$B$83,"FDA-2",$H$43:$H$83)</f>
        <v>26205.55</v>
      </c>
      <c r="I87" s="45">
        <f>SUMIF($B$43:$B$83,"FDA-2",$I$43:$I$83)</f>
        <v>59615.01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69</v>
      </c>
      <c r="B88" s="59" t="s">
        <v>70</v>
      </c>
      <c r="C88" s="28">
        <f>SUMIFS($E$43:$E$83,$B$43:$B$83,"FDA-3",$D$43:$D$83,"&lt;&gt;VAGO")</f>
        <v>2</v>
      </c>
      <c r="D88" s="28">
        <f>SUMIFS($E$43:$E$83,$B$43:$B$83,"FDA-3",$D$43:$D$83,"VAGO")</f>
        <v>0</v>
      </c>
      <c r="E88" s="28">
        <f t="shared" si="4"/>
        <v>2</v>
      </c>
      <c r="F88" s="34"/>
      <c r="G88" s="45">
        <f>SUMIF($B$43:$B$83,"FDA-3",$G$43:$G$83)</f>
        <v>0</v>
      </c>
      <c r="H88" s="45">
        <f>SUMIF($B$43:$B$83,"FDA-3",$H$43:$H$83)</f>
        <v>8632.42</v>
      </c>
      <c r="I88" s="45">
        <f>SUMIF($B$43:$B$83,"FDA-3",$I$43:$I$83)</f>
        <v>8632.42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71</v>
      </c>
      <c r="B89" s="59" t="s">
        <v>72</v>
      </c>
      <c r="C89" s="28">
        <f>SUMIFS($E$43:$E$83,$B$43:$B$83,"FDA-4",$D$43:$D$83,"&lt;&gt;VAGO")</f>
        <v>26</v>
      </c>
      <c r="D89" s="28">
        <f>SUMIFS($E$43:$E$83,$B$43:$B$83,"FDA-4",$D$43:$D$83,"VAGO")</f>
        <v>1</v>
      </c>
      <c r="E89" s="28">
        <f t="shared" si="4"/>
        <v>27</v>
      </c>
      <c r="F89" s="32"/>
      <c r="G89" s="45">
        <f>SUMIF($B$43:$B$83,"FDA-4",$G$43:$G$83)</f>
        <v>3849.66</v>
      </c>
      <c r="H89" s="45">
        <f>SUMIF($B$43:$B$83,"FDA-4",$H$43:$H$83)</f>
        <v>80158.260000000009</v>
      </c>
      <c r="I89" s="45">
        <f>SUMIF($B$43:$B$83,"FDA-4",$I$43:$I$83)</f>
        <v>84007.920000000013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30" x14ac:dyDescent="0.2">
      <c r="A90" s="63" t="s">
        <v>73</v>
      </c>
      <c r="B90" s="48"/>
      <c r="C90" s="35">
        <f t="shared" ref="C90:E90" si="5">SUM(C86:C89)</f>
        <v>39</v>
      </c>
      <c r="D90" s="35">
        <f t="shared" si="5"/>
        <v>2</v>
      </c>
      <c r="E90" s="35">
        <f t="shared" si="5"/>
        <v>41</v>
      </c>
      <c r="F90" s="48"/>
      <c r="G90" s="51">
        <f t="shared" ref="G90:I90" si="6">SUM(G85:G89)</f>
        <v>37259.119999999995</v>
      </c>
      <c r="H90" s="51">
        <f t="shared" si="6"/>
        <v>149217.59000000003</v>
      </c>
      <c r="I90" s="51">
        <f t="shared" si="6"/>
        <v>186476.71000000002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45" customHeight="1" x14ac:dyDescent="0.2">
      <c r="A91" s="38"/>
      <c r="B91" s="38"/>
      <c r="C91" s="38"/>
      <c r="D91" s="38"/>
      <c r="E91" s="38"/>
      <c r="F91" s="38"/>
      <c r="G91" s="38"/>
      <c r="H91" s="38"/>
      <c r="I91" s="7"/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x14ac:dyDescent="0.2">
      <c r="A92" s="99" t="s">
        <v>74</v>
      </c>
      <c r="B92" s="93"/>
      <c r="C92" s="93"/>
      <c r="D92" s="93"/>
      <c r="E92" s="93"/>
      <c r="F92" s="93"/>
      <c r="G92" s="93"/>
      <c r="H92" s="93"/>
      <c r="I92" s="94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30" x14ac:dyDescent="0.2">
      <c r="A93" s="52" t="s">
        <v>75</v>
      </c>
      <c r="B93" s="10" t="s">
        <v>76</v>
      </c>
      <c r="C93" s="10" t="s">
        <v>77</v>
      </c>
      <c r="D93" s="10" t="s">
        <v>78</v>
      </c>
      <c r="E93" s="10" t="s">
        <v>79</v>
      </c>
      <c r="F93" s="10" t="s">
        <v>80</v>
      </c>
      <c r="G93" s="10" t="s">
        <v>81</v>
      </c>
      <c r="H93" s="10" t="s">
        <v>82</v>
      </c>
      <c r="I93" s="10" t="s">
        <v>83</v>
      </c>
      <c r="J93" s="7"/>
      <c r="K93" s="7"/>
      <c r="L93" s="7"/>
      <c r="M93" s="7"/>
      <c r="N93" s="7"/>
      <c r="O93" s="7"/>
      <c r="P93" s="7"/>
      <c r="Q93" s="7"/>
      <c r="R93" s="40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x14ac:dyDescent="0.2">
      <c r="A94" s="56" t="s">
        <v>340</v>
      </c>
      <c r="B94" s="55" t="s">
        <v>93</v>
      </c>
      <c r="C94" s="55" t="s">
        <v>178</v>
      </c>
      <c r="D94" s="57" t="s">
        <v>181</v>
      </c>
      <c r="E94" s="46">
        <v>1</v>
      </c>
      <c r="F94" s="56" t="s">
        <v>374</v>
      </c>
      <c r="G94" s="44">
        <v>0</v>
      </c>
      <c r="H94" s="44">
        <v>1392.8</v>
      </c>
      <c r="I94" s="45">
        <f t="shared" ref="I94:I197" si="7">SUM(G94:H94)</f>
        <v>1392.8</v>
      </c>
      <c r="J94" s="21"/>
      <c r="K94" s="21"/>
      <c r="L94" s="21"/>
      <c r="M94" s="21"/>
      <c r="N94" s="21"/>
      <c r="O94" s="21"/>
      <c r="P94" s="21"/>
      <c r="Q94" s="21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x14ac:dyDescent="0.2">
      <c r="A95" s="47" t="s">
        <v>341</v>
      </c>
      <c r="B95" s="55" t="s">
        <v>342</v>
      </c>
      <c r="C95" s="57" t="s">
        <v>178</v>
      </c>
      <c r="D95" s="57" t="s">
        <v>199</v>
      </c>
      <c r="E95" s="46">
        <v>1</v>
      </c>
      <c r="F95" s="47" t="s">
        <v>375</v>
      </c>
      <c r="G95" s="44">
        <v>831.13</v>
      </c>
      <c r="H95" s="44">
        <v>849.76</v>
      </c>
      <c r="I95" s="45">
        <f t="shared" si="7"/>
        <v>1680.8899999999999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343</v>
      </c>
      <c r="B96" s="55" t="s">
        <v>101</v>
      </c>
      <c r="C96" s="57" t="s">
        <v>178</v>
      </c>
      <c r="D96" s="57" t="s">
        <v>199</v>
      </c>
      <c r="E96" s="46">
        <v>1</v>
      </c>
      <c r="F96" s="43" t="s">
        <v>376</v>
      </c>
      <c r="G96" s="44">
        <v>831.26</v>
      </c>
      <c r="H96" s="44">
        <v>465.35</v>
      </c>
      <c r="I96" s="45">
        <f t="shared" si="7"/>
        <v>1296.6100000000001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340</v>
      </c>
      <c r="B97" s="55" t="s">
        <v>93</v>
      </c>
      <c r="C97" s="57" t="s">
        <v>223</v>
      </c>
      <c r="D97" s="57" t="s">
        <v>199</v>
      </c>
      <c r="E97" s="46">
        <v>1</v>
      </c>
      <c r="F97" s="43" t="s">
        <v>377</v>
      </c>
      <c r="G97" s="44">
        <v>844.27</v>
      </c>
      <c r="H97" s="44">
        <v>1392.8</v>
      </c>
      <c r="I97" s="45">
        <f t="shared" si="7"/>
        <v>2237.0699999999997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344</v>
      </c>
      <c r="B98" s="55" t="s">
        <v>345</v>
      </c>
      <c r="C98" s="57" t="s">
        <v>223</v>
      </c>
      <c r="D98" s="57" t="s">
        <v>199</v>
      </c>
      <c r="E98" s="46">
        <v>1</v>
      </c>
      <c r="F98" s="43" t="s">
        <v>378</v>
      </c>
      <c r="G98" s="44">
        <v>831.26</v>
      </c>
      <c r="H98" s="44">
        <v>505.81</v>
      </c>
      <c r="I98" s="45">
        <f t="shared" si="7"/>
        <v>1337.07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340</v>
      </c>
      <c r="B99" s="55" t="s">
        <v>93</v>
      </c>
      <c r="C99" s="57" t="s">
        <v>223</v>
      </c>
      <c r="D99" s="57" t="s">
        <v>181</v>
      </c>
      <c r="E99" s="46">
        <v>1</v>
      </c>
      <c r="F99" s="43" t="s">
        <v>379</v>
      </c>
      <c r="G99" s="44">
        <v>0</v>
      </c>
      <c r="H99" s="44">
        <v>1392.8</v>
      </c>
      <c r="I99" s="45">
        <f t="shared" si="7"/>
        <v>1392.8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380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346</v>
      </c>
      <c r="B101" s="55" t="s">
        <v>97</v>
      </c>
      <c r="C101" s="57" t="s">
        <v>347</v>
      </c>
      <c r="D101" s="57" t="s">
        <v>181</v>
      </c>
      <c r="E101" s="46">
        <v>1</v>
      </c>
      <c r="F101" s="43" t="s">
        <v>381</v>
      </c>
      <c r="G101" s="44">
        <v>0</v>
      </c>
      <c r="H101" s="44">
        <v>566.5</v>
      </c>
      <c r="I101" s="45">
        <f t="shared" si="7"/>
        <v>566.5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382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348</v>
      </c>
      <c r="D103" s="57" t="s">
        <v>181</v>
      </c>
      <c r="E103" s="46">
        <v>1</v>
      </c>
      <c r="F103" s="43" t="s">
        <v>383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340</v>
      </c>
      <c r="B104" s="55" t="s">
        <v>93</v>
      </c>
      <c r="C104" s="57" t="s">
        <v>347</v>
      </c>
      <c r="D104" s="57" t="s">
        <v>181</v>
      </c>
      <c r="E104" s="46">
        <v>1</v>
      </c>
      <c r="F104" s="43" t="s">
        <v>384</v>
      </c>
      <c r="G104" s="44">
        <v>0</v>
      </c>
      <c r="H104" s="44">
        <v>1392.8</v>
      </c>
      <c r="I104" s="45">
        <f t="shared" si="7"/>
        <v>1392.8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349</v>
      </c>
      <c r="D105" s="57" t="s">
        <v>181</v>
      </c>
      <c r="E105" s="46">
        <v>1</v>
      </c>
      <c r="F105" s="43" t="s">
        <v>385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231</v>
      </c>
      <c r="D106" s="57" t="s">
        <v>181</v>
      </c>
      <c r="E106" s="46">
        <v>1</v>
      </c>
      <c r="F106" s="43" t="s">
        <v>386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341</v>
      </c>
      <c r="B107" s="55" t="s">
        <v>342</v>
      </c>
      <c r="C107" s="57" t="s">
        <v>350</v>
      </c>
      <c r="D107" s="57" t="s">
        <v>181</v>
      </c>
      <c r="E107" s="46">
        <v>1</v>
      </c>
      <c r="F107" s="43" t="s">
        <v>387</v>
      </c>
      <c r="G107" s="44">
        <v>0</v>
      </c>
      <c r="H107" s="44">
        <v>849.76</v>
      </c>
      <c r="I107" s="45">
        <f t="shared" si="7"/>
        <v>849.76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340</v>
      </c>
      <c r="B108" s="55" t="s">
        <v>93</v>
      </c>
      <c r="C108" s="57" t="s">
        <v>351</v>
      </c>
      <c r="D108" s="57" t="s">
        <v>181</v>
      </c>
      <c r="E108" s="46">
        <v>1</v>
      </c>
      <c r="F108" s="43" t="s">
        <v>388</v>
      </c>
      <c r="G108" s="44">
        <v>0</v>
      </c>
      <c r="H108" s="44">
        <v>1392.8</v>
      </c>
      <c r="I108" s="45">
        <f t="shared" si="7"/>
        <v>1392.8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346</v>
      </c>
      <c r="B109" s="55" t="s">
        <v>97</v>
      </c>
      <c r="C109" s="57" t="s">
        <v>352</v>
      </c>
      <c r="D109" s="57" t="s">
        <v>199</v>
      </c>
      <c r="E109" s="46">
        <v>1</v>
      </c>
      <c r="F109" s="43" t="s">
        <v>389</v>
      </c>
      <c r="G109" s="44">
        <v>852.4</v>
      </c>
      <c r="H109" s="44">
        <v>566.5</v>
      </c>
      <c r="I109" s="45">
        <f t="shared" si="7"/>
        <v>1418.9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340</v>
      </c>
      <c r="B110" s="55" t="s">
        <v>93</v>
      </c>
      <c r="C110" s="57" t="s">
        <v>353</v>
      </c>
      <c r="D110" s="57" t="s">
        <v>199</v>
      </c>
      <c r="E110" s="46">
        <v>1</v>
      </c>
      <c r="F110" s="43" t="s">
        <v>390</v>
      </c>
      <c r="G110" s="44">
        <v>830.46</v>
      </c>
      <c r="H110" s="44">
        <v>1392.8</v>
      </c>
      <c r="I110" s="45">
        <f t="shared" si="7"/>
        <v>2223.2600000000002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346</v>
      </c>
      <c r="B111" s="55" t="s">
        <v>97</v>
      </c>
      <c r="C111" s="57" t="s">
        <v>353</v>
      </c>
      <c r="D111" s="57" t="s">
        <v>199</v>
      </c>
      <c r="E111" s="46">
        <v>1</v>
      </c>
      <c r="F111" s="43" t="s">
        <v>391</v>
      </c>
      <c r="G111" s="44">
        <v>844.27</v>
      </c>
      <c r="H111" s="44">
        <v>566.5</v>
      </c>
      <c r="I111" s="45">
        <f t="shared" si="7"/>
        <v>1410.77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392</v>
      </c>
      <c r="G112" s="44">
        <v>844.13</v>
      </c>
      <c r="H112" s="44">
        <v>566.5</v>
      </c>
      <c r="I112" s="45">
        <f t="shared" si="7"/>
        <v>1410.63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354</v>
      </c>
      <c r="D113" s="57" t="s">
        <v>181</v>
      </c>
      <c r="E113" s="46">
        <v>1</v>
      </c>
      <c r="F113" s="43" t="s">
        <v>393</v>
      </c>
      <c r="G113" s="44">
        <v>0</v>
      </c>
      <c r="H113" s="44">
        <v>566.5</v>
      </c>
      <c r="I113" s="45">
        <f t="shared" si="7"/>
        <v>566.5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355</v>
      </c>
      <c r="D114" s="57" t="s">
        <v>199</v>
      </c>
      <c r="E114" s="46">
        <v>1</v>
      </c>
      <c r="F114" s="43" t="s">
        <v>477</v>
      </c>
      <c r="G114" s="44">
        <v>845.01</v>
      </c>
      <c r="H114" s="44">
        <v>566.5</v>
      </c>
      <c r="I114" s="45">
        <f t="shared" si="7"/>
        <v>1411.51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394</v>
      </c>
      <c r="G115" s="44">
        <v>837.96</v>
      </c>
      <c r="H115" s="44">
        <v>566.5</v>
      </c>
      <c r="I115" s="45">
        <f t="shared" si="7"/>
        <v>1404.46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395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340</v>
      </c>
      <c r="B117" s="55" t="s">
        <v>93</v>
      </c>
      <c r="C117" s="57" t="s">
        <v>356</v>
      </c>
      <c r="D117" s="57" t="s">
        <v>181</v>
      </c>
      <c r="E117" s="46">
        <v>1</v>
      </c>
      <c r="F117" s="43" t="s">
        <v>396</v>
      </c>
      <c r="G117" s="44">
        <v>0</v>
      </c>
      <c r="H117" s="44">
        <v>1392.8</v>
      </c>
      <c r="I117" s="45">
        <f t="shared" si="7"/>
        <v>1392.8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346</v>
      </c>
      <c r="B118" s="55" t="s">
        <v>97</v>
      </c>
      <c r="C118" s="57" t="s">
        <v>356</v>
      </c>
      <c r="D118" s="57" t="s">
        <v>199</v>
      </c>
      <c r="E118" s="46">
        <v>1</v>
      </c>
      <c r="F118" s="43" t="s">
        <v>397</v>
      </c>
      <c r="G118" s="44">
        <v>844.87</v>
      </c>
      <c r="H118" s="44">
        <v>566.5</v>
      </c>
      <c r="I118" s="45">
        <f t="shared" si="7"/>
        <v>1411.37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344</v>
      </c>
      <c r="B119" s="55" t="s">
        <v>345</v>
      </c>
      <c r="C119" s="57" t="s">
        <v>356</v>
      </c>
      <c r="D119" s="57" t="s">
        <v>199</v>
      </c>
      <c r="E119" s="46">
        <v>1</v>
      </c>
      <c r="F119" s="43" t="s">
        <v>398</v>
      </c>
      <c r="G119" s="44">
        <v>852.4</v>
      </c>
      <c r="H119" s="44">
        <v>505.81</v>
      </c>
      <c r="I119" s="45">
        <f t="shared" si="7"/>
        <v>1358.21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340</v>
      </c>
      <c r="B120" s="55" t="s">
        <v>93</v>
      </c>
      <c r="C120" s="57" t="s">
        <v>357</v>
      </c>
      <c r="D120" s="57" t="s">
        <v>181</v>
      </c>
      <c r="E120" s="46">
        <v>1</v>
      </c>
      <c r="F120" s="43" t="s">
        <v>399</v>
      </c>
      <c r="G120" s="44">
        <v>0</v>
      </c>
      <c r="H120" s="44">
        <v>1392.8</v>
      </c>
      <c r="I120" s="45">
        <f t="shared" si="7"/>
        <v>1392.8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346</v>
      </c>
      <c r="B121" s="55" t="s">
        <v>97</v>
      </c>
      <c r="C121" s="57" t="s">
        <v>357</v>
      </c>
      <c r="D121" s="57" t="s">
        <v>199</v>
      </c>
      <c r="E121" s="46">
        <v>1</v>
      </c>
      <c r="F121" s="43" t="s">
        <v>400</v>
      </c>
      <c r="G121" s="44">
        <v>16704.73</v>
      </c>
      <c r="H121" s="44">
        <v>566.5</v>
      </c>
      <c r="I121" s="45">
        <f t="shared" si="7"/>
        <v>17271.23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401</v>
      </c>
      <c r="G122" s="44">
        <v>837.96</v>
      </c>
      <c r="H122" s="44">
        <v>566.5</v>
      </c>
      <c r="I122" s="45">
        <f t="shared" si="7"/>
        <v>1404.46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358</v>
      </c>
      <c r="D123" s="57" t="s">
        <v>199</v>
      </c>
      <c r="E123" s="46">
        <v>1</v>
      </c>
      <c r="F123" s="43" t="s">
        <v>402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181</v>
      </c>
      <c r="E124" s="46">
        <v>1</v>
      </c>
      <c r="F124" s="43" t="s">
        <v>403</v>
      </c>
      <c r="G124" s="44">
        <v>0</v>
      </c>
      <c r="H124" s="44">
        <v>566.5</v>
      </c>
      <c r="I124" s="45">
        <f t="shared" si="7"/>
        <v>566.5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340</v>
      </c>
      <c r="B125" s="55" t="s">
        <v>93</v>
      </c>
      <c r="C125" s="57" t="s">
        <v>359</v>
      </c>
      <c r="D125" s="57" t="s">
        <v>199</v>
      </c>
      <c r="E125" s="46">
        <v>1</v>
      </c>
      <c r="F125" s="43" t="s">
        <v>404</v>
      </c>
      <c r="G125" s="44">
        <v>831.26</v>
      </c>
      <c r="H125" s="44">
        <v>1392.8</v>
      </c>
      <c r="I125" s="45">
        <f t="shared" si="7"/>
        <v>2224.06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405</v>
      </c>
      <c r="G126" s="44">
        <v>1006.04</v>
      </c>
      <c r="H126" s="44">
        <v>1392.8</v>
      </c>
      <c r="I126" s="45">
        <f t="shared" si="7"/>
        <v>2398.84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360</v>
      </c>
      <c r="D127" s="57" t="s">
        <v>199</v>
      </c>
      <c r="E127" s="46">
        <v>1</v>
      </c>
      <c r="F127" s="43" t="s">
        <v>406</v>
      </c>
      <c r="G127" s="44">
        <v>837.96</v>
      </c>
      <c r="H127" s="44">
        <v>1392.8</v>
      </c>
      <c r="I127" s="45">
        <f t="shared" si="7"/>
        <v>2230.7600000000002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346</v>
      </c>
      <c r="B128" s="55" t="s">
        <v>97</v>
      </c>
      <c r="C128" s="57" t="s">
        <v>361</v>
      </c>
      <c r="D128" s="57" t="s">
        <v>181</v>
      </c>
      <c r="E128" s="46">
        <v>1</v>
      </c>
      <c r="F128" s="43" t="s">
        <v>407</v>
      </c>
      <c r="G128" s="44">
        <v>0</v>
      </c>
      <c r="H128" s="44">
        <v>566.5</v>
      </c>
      <c r="I128" s="45">
        <f t="shared" si="7"/>
        <v>566.5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408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340</v>
      </c>
      <c r="B130" s="55" t="s">
        <v>93</v>
      </c>
      <c r="C130" s="57" t="s">
        <v>362</v>
      </c>
      <c r="D130" s="57" t="s">
        <v>181</v>
      </c>
      <c r="E130" s="46">
        <v>1</v>
      </c>
      <c r="F130" s="43" t="s">
        <v>409</v>
      </c>
      <c r="G130" s="44">
        <v>0</v>
      </c>
      <c r="H130" s="44">
        <v>1392.8</v>
      </c>
      <c r="I130" s="45">
        <f t="shared" si="7"/>
        <v>1392.8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248</v>
      </c>
      <c r="D131" s="57" t="s">
        <v>181</v>
      </c>
      <c r="E131" s="46">
        <v>1</v>
      </c>
      <c r="F131" s="43" t="s">
        <v>410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411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346</v>
      </c>
      <c r="B133" s="55" t="s">
        <v>97</v>
      </c>
      <c r="C133" s="57" t="s">
        <v>248</v>
      </c>
      <c r="D133" s="57" t="s">
        <v>199</v>
      </c>
      <c r="E133" s="46">
        <v>1</v>
      </c>
      <c r="F133" s="43" t="s">
        <v>490</v>
      </c>
      <c r="G133" s="44">
        <v>1509.2</v>
      </c>
      <c r="H133" s="44">
        <v>1392.8</v>
      </c>
      <c r="I133" s="45">
        <f t="shared" si="7"/>
        <v>2902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340</v>
      </c>
      <c r="B134" s="55" t="s">
        <v>93</v>
      </c>
      <c r="C134" s="57" t="s">
        <v>248</v>
      </c>
      <c r="D134" s="57" t="s">
        <v>199</v>
      </c>
      <c r="E134" s="46">
        <v>1</v>
      </c>
      <c r="F134" s="43" t="s">
        <v>413</v>
      </c>
      <c r="G134" s="44">
        <v>837.83</v>
      </c>
      <c r="H134" s="44">
        <v>1392.8</v>
      </c>
      <c r="I134" s="45">
        <f t="shared" si="7"/>
        <v>2230.63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194</v>
      </c>
      <c r="D135" s="57" t="s">
        <v>199</v>
      </c>
      <c r="E135" s="46">
        <v>1</v>
      </c>
      <c r="F135" s="43" t="s">
        <v>414</v>
      </c>
      <c r="G135" s="44">
        <v>809.06</v>
      </c>
      <c r="H135" s="44">
        <v>1392.8</v>
      </c>
      <c r="I135" s="45">
        <f t="shared" si="7"/>
        <v>2201.8599999999997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181</v>
      </c>
      <c r="E136" s="46">
        <v>1</v>
      </c>
      <c r="F136" s="43" t="s">
        <v>491</v>
      </c>
      <c r="G136" s="44">
        <v>1509.2</v>
      </c>
      <c r="H136" s="44">
        <v>1392.8</v>
      </c>
      <c r="I136" s="45">
        <f t="shared" si="7"/>
        <v>2902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43" t="s">
        <v>416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199</v>
      </c>
      <c r="E138" s="46">
        <v>1</v>
      </c>
      <c r="F138" s="43" t="s">
        <v>417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418</v>
      </c>
      <c r="G139" s="44">
        <v>809.06</v>
      </c>
      <c r="H139" s="44">
        <v>1392.8</v>
      </c>
      <c r="I139" s="45">
        <f t="shared" si="7"/>
        <v>2201.8599999999997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341</v>
      </c>
      <c r="B140" s="55" t="s">
        <v>342</v>
      </c>
      <c r="C140" s="57" t="s">
        <v>194</v>
      </c>
      <c r="D140" s="57" t="s">
        <v>199</v>
      </c>
      <c r="E140" s="46">
        <v>1</v>
      </c>
      <c r="F140" s="43" t="s">
        <v>419</v>
      </c>
      <c r="G140" s="44">
        <v>852.4</v>
      </c>
      <c r="H140" s="44">
        <v>849.76</v>
      </c>
      <c r="I140" s="45">
        <f t="shared" si="7"/>
        <v>1702.1599999999999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478</v>
      </c>
      <c r="G141" s="44">
        <v>1509.2</v>
      </c>
      <c r="H141" s="44">
        <v>849.76</v>
      </c>
      <c r="I141" s="45">
        <f t="shared" si="7"/>
        <v>2358.96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421</v>
      </c>
      <c r="G142" s="44">
        <v>809.06</v>
      </c>
      <c r="H142" s="44">
        <v>849.76</v>
      </c>
      <c r="I142" s="45">
        <f t="shared" si="7"/>
        <v>1658.82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422</v>
      </c>
      <c r="G143" s="44">
        <v>837.26</v>
      </c>
      <c r="H143" s="44">
        <v>849.76</v>
      </c>
      <c r="I143" s="45">
        <f t="shared" si="7"/>
        <v>1687.02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346</v>
      </c>
      <c r="B144" s="55" t="s">
        <v>97</v>
      </c>
      <c r="C144" s="57" t="s">
        <v>194</v>
      </c>
      <c r="D144" s="57" t="s">
        <v>199</v>
      </c>
      <c r="E144" s="46">
        <v>1</v>
      </c>
      <c r="F144" s="43" t="s">
        <v>423</v>
      </c>
      <c r="G144" s="44">
        <v>824.75</v>
      </c>
      <c r="H144" s="44">
        <v>566.5</v>
      </c>
      <c r="I144" s="45">
        <f t="shared" si="7"/>
        <v>1391.25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424</v>
      </c>
      <c r="G145" s="44">
        <v>831.26</v>
      </c>
      <c r="H145" s="44">
        <v>566.5</v>
      </c>
      <c r="I145" s="45">
        <f t="shared" si="7"/>
        <v>1397.76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363</v>
      </c>
      <c r="B146" s="55" t="s">
        <v>342</v>
      </c>
      <c r="C146" s="57" t="s">
        <v>194</v>
      </c>
      <c r="D146" s="57" t="s">
        <v>199</v>
      </c>
      <c r="E146" s="46">
        <v>1</v>
      </c>
      <c r="F146" s="43" t="s">
        <v>425</v>
      </c>
      <c r="G146" s="44">
        <v>1509.2</v>
      </c>
      <c r="H146" s="44">
        <v>849.76</v>
      </c>
      <c r="I146" s="45">
        <f t="shared" si="7"/>
        <v>2358.96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340</v>
      </c>
      <c r="B147" s="55" t="s">
        <v>93</v>
      </c>
      <c r="C147" s="57" t="s">
        <v>254</v>
      </c>
      <c r="D147" s="57" t="s">
        <v>181</v>
      </c>
      <c r="E147" s="46">
        <v>1</v>
      </c>
      <c r="F147" s="43" t="s">
        <v>426</v>
      </c>
      <c r="G147" s="44">
        <v>0</v>
      </c>
      <c r="H147" s="44">
        <v>1392.8</v>
      </c>
      <c r="I147" s="45">
        <f t="shared" si="7"/>
        <v>1392.8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57" t="s">
        <v>181</v>
      </c>
      <c r="E148" s="46">
        <v>1</v>
      </c>
      <c r="F148" s="43" t="s">
        <v>427</v>
      </c>
      <c r="G148" s="44">
        <v>0</v>
      </c>
      <c r="H148" s="44">
        <v>1392.8</v>
      </c>
      <c r="I148" s="45">
        <f t="shared" si="7"/>
        <v>1392.8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364</v>
      </c>
      <c r="D149" s="57" t="s">
        <v>181</v>
      </c>
      <c r="E149" s="46">
        <v>1</v>
      </c>
      <c r="F149" s="43" t="s">
        <v>428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199</v>
      </c>
      <c r="E150" s="46">
        <v>1</v>
      </c>
      <c r="F150" s="43" t="s">
        <v>429</v>
      </c>
      <c r="G150" s="44">
        <v>809.06</v>
      </c>
      <c r="H150" s="44">
        <v>1392.8</v>
      </c>
      <c r="I150" s="45">
        <f t="shared" si="7"/>
        <v>2201.8599999999997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346</v>
      </c>
      <c r="B151" s="55" t="s">
        <v>97</v>
      </c>
      <c r="C151" s="57" t="s">
        <v>364</v>
      </c>
      <c r="D151" s="57" t="s">
        <v>199</v>
      </c>
      <c r="E151" s="46">
        <v>1</v>
      </c>
      <c r="F151" s="43" t="s">
        <v>430</v>
      </c>
      <c r="G151" s="44">
        <v>1509.2</v>
      </c>
      <c r="H151" s="44">
        <v>566.5</v>
      </c>
      <c r="I151" s="45">
        <f t="shared" si="7"/>
        <v>2075.6999999999998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341</v>
      </c>
      <c r="B152" s="55" t="s">
        <v>342</v>
      </c>
      <c r="C152" s="57" t="s">
        <v>364</v>
      </c>
      <c r="D152" s="57" t="s">
        <v>199</v>
      </c>
      <c r="E152" s="46">
        <v>1</v>
      </c>
      <c r="F152" s="43" t="s">
        <v>431</v>
      </c>
      <c r="G152" s="44">
        <v>1509.2</v>
      </c>
      <c r="H152" s="44">
        <v>849.76</v>
      </c>
      <c r="I152" s="45">
        <f t="shared" si="7"/>
        <v>2358.96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346</v>
      </c>
      <c r="B153" s="55" t="s">
        <v>97</v>
      </c>
      <c r="C153" s="57" t="s">
        <v>260</v>
      </c>
      <c r="D153" s="57" t="s">
        <v>181</v>
      </c>
      <c r="E153" s="46">
        <v>1</v>
      </c>
      <c r="F153" s="78" t="s">
        <v>432</v>
      </c>
      <c r="G153" s="44">
        <v>0</v>
      </c>
      <c r="H153" s="44">
        <v>566.5</v>
      </c>
      <c r="I153" s="45">
        <f t="shared" si="7"/>
        <v>566.5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340</v>
      </c>
      <c r="B154" s="55" t="s">
        <v>93</v>
      </c>
      <c r="C154" s="57" t="s">
        <v>260</v>
      </c>
      <c r="D154" s="57" t="s">
        <v>181</v>
      </c>
      <c r="E154" s="46">
        <v>1</v>
      </c>
      <c r="F154" s="43" t="s">
        <v>433</v>
      </c>
      <c r="G154" s="44">
        <v>0</v>
      </c>
      <c r="H154" s="44">
        <v>1392.8</v>
      </c>
      <c r="I154" s="45">
        <f t="shared" si="7"/>
        <v>1392.8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365</v>
      </c>
      <c r="B155" s="55" t="s">
        <v>93</v>
      </c>
      <c r="C155" s="57" t="s">
        <v>260</v>
      </c>
      <c r="D155" s="57" t="s">
        <v>181</v>
      </c>
      <c r="E155" s="46">
        <v>1</v>
      </c>
      <c r="F155" s="43" t="s">
        <v>434</v>
      </c>
      <c r="G155" s="44">
        <v>0</v>
      </c>
      <c r="H155" s="44">
        <v>1392.8</v>
      </c>
      <c r="I155" s="45">
        <f t="shared" si="7"/>
        <v>1392.8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435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341</v>
      </c>
      <c r="B157" s="55" t="s">
        <v>342</v>
      </c>
      <c r="C157" s="57" t="s">
        <v>198</v>
      </c>
      <c r="D157" s="57" t="s">
        <v>199</v>
      </c>
      <c r="E157" s="46">
        <v>1</v>
      </c>
      <c r="F157" s="43" t="s">
        <v>436</v>
      </c>
      <c r="G157" s="44">
        <v>809.06</v>
      </c>
      <c r="H157" s="44">
        <v>849.76</v>
      </c>
      <c r="I157" s="45">
        <f t="shared" si="7"/>
        <v>1658.82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343</v>
      </c>
      <c r="B158" s="55" t="s">
        <v>101</v>
      </c>
      <c r="C158" s="57" t="s">
        <v>198</v>
      </c>
      <c r="D158" s="57" t="s">
        <v>199</v>
      </c>
      <c r="E158" s="46">
        <v>1</v>
      </c>
      <c r="F158" s="43" t="s">
        <v>437</v>
      </c>
      <c r="G158" s="44">
        <v>1509.2</v>
      </c>
      <c r="H158" s="44">
        <v>849.76</v>
      </c>
      <c r="I158" s="45">
        <f t="shared" si="7"/>
        <v>2358.96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340</v>
      </c>
      <c r="B159" s="55" t="s">
        <v>93</v>
      </c>
      <c r="C159" s="57" t="s">
        <v>366</v>
      </c>
      <c r="D159" s="57" t="s">
        <v>181</v>
      </c>
      <c r="E159" s="46">
        <v>1</v>
      </c>
      <c r="F159" s="43" t="s">
        <v>438</v>
      </c>
      <c r="G159" s="44">
        <v>0</v>
      </c>
      <c r="H159" s="44">
        <v>1392.8</v>
      </c>
      <c r="I159" s="45">
        <f t="shared" si="7"/>
        <v>1392.8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199</v>
      </c>
      <c r="E160" s="46">
        <v>1</v>
      </c>
      <c r="F160" s="43" t="s">
        <v>439</v>
      </c>
      <c r="G160" s="44">
        <v>852.4</v>
      </c>
      <c r="H160" s="44">
        <v>1392.8</v>
      </c>
      <c r="I160" s="45">
        <f t="shared" si="7"/>
        <v>2245.1999999999998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341</v>
      </c>
      <c r="B161" s="55" t="s">
        <v>342</v>
      </c>
      <c r="C161" s="57" t="s">
        <v>366</v>
      </c>
      <c r="D161" s="57" t="s">
        <v>199</v>
      </c>
      <c r="E161" s="46">
        <v>1</v>
      </c>
      <c r="F161" s="43" t="s">
        <v>440</v>
      </c>
      <c r="G161" s="44">
        <v>831.26</v>
      </c>
      <c r="H161" s="44">
        <v>849.76</v>
      </c>
      <c r="I161" s="45">
        <f t="shared" si="7"/>
        <v>1681.02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441</v>
      </c>
      <c r="G162" s="44">
        <v>824.11</v>
      </c>
      <c r="H162" s="44">
        <v>849.76</v>
      </c>
      <c r="I162" s="45">
        <f t="shared" si="7"/>
        <v>1673.87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442</v>
      </c>
      <c r="G163" s="44">
        <v>1109.1600000000001</v>
      </c>
      <c r="H163" s="44">
        <v>849.76</v>
      </c>
      <c r="I163" s="45">
        <f t="shared" si="7"/>
        <v>1958.92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443</v>
      </c>
      <c r="G164" s="44">
        <v>811.5</v>
      </c>
      <c r="H164" s="44">
        <v>849.76</v>
      </c>
      <c r="I164" s="45">
        <f t="shared" si="7"/>
        <v>1661.26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444</v>
      </c>
      <c r="G165" s="44">
        <v>831.13</v>
      </c>
      <c r="H165" s="44">
        <v>849.76</v>
      </c>
      <c r="I165" s="45">
        <f t="shared" si="7"/>
        <v>1680.8899999999999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346</v>
      </c>
      <c r="B166" s="55" t="s">
        <v>97</v>
      </c>
      <c r="C166" s="57" t="s">
        <v>366</v>
      </c>
      <c r="D166" s="57" t="s">
        <v>199</v>
      </c>
      <c r="E166" s="46">
        <v>1</v>
      </c>
      <c r="F166" s="43" t="s">
        <v>445</v>
      </c>
      <c r="G166" s="44">
        <v>844.87</v>
      </c>
      <c r="H166" s="44">
        <v>566.5</v>
      </c>
      <c r="I166" s="45">
        <f t="shared" si="7"/>
        <v>1411.37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291</v>
      </c>
      <c r="D167" s="57" t="s">
        <v>199</v>
      </c>
      <c r="E167" s="46">
        <v>1</v>
      </c>
      <c r="F167" s="43" t="s">
        <v>446</v>
      </c>
      <c r="G167" s="44">
        <v>852.4</v>
      </c>
      <c r="H167" s="44">
        <v>566.5</v>
      </c>
      <c r="I167" s="45">
        <f t="shared" si="7"/>
        <v>1418.9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94</v>
      </c>
      <c r="B168" s="55" t="s">
        <v>342</v>
      </c>
      <c r="C168" s="57" t="s">
        <v>291</v>
      </c>
      <c r="D168" s="57" t="s">
        <v>199</v>
      </c>
      <c r="E168" s="46">
        <v>1</v>
      </c>
      <c r="F168" s="43" t="s">
        <v>487</v>
      </c>
      <c r="G168" s="44">
        <v>809.06</v>
      </c>
      <c r="H168" s="44">
        <v>849.76</v>
      </c>
      <c r="I168" s="45">
        <f t="shared" si="7"/>
        <v>1658.82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341</v>
      </c>
      <c r="B169" s="55" t="s">
        <v>342</v>
      </c>
      <c r="C169" s="57" t="s">
        <v>291</v>
      </c>
      <c r="D169" s="57" t="s">
        <v>181</v>
      </c>
      <c r="E169" s="46">
        <v>1</v>
      </c>
      <c r="F169" s="43" t="s">
        <v>448</v>
      </c>
      <c r="G169" s="44">
        <v>0</v>
      </c>
      <c r="H169" s="44">
        <v>849.76</v>
      </c>
      <c r="I169" s="45">
        <f t="shared" si="7"/>
        <v>849.76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340</v>
      </c>
      <c r="B170" s="55" t="s">
        <v>93</v>
      </c>
      <c r="C170" s="57" t="s">
        <v>291</v>
      </c>
      <c r="D170" s="57" t="s">
        <v>199</v>
      </c>
      <c r="E170" s="46">
        <v>1</v>
      </c>
      <c r="F170" s="43" t="s">
        <v>449</v>
      </c>
      <c r="G170" s="44">
        <v>852.4</v>
      </c>
      <c r="H170" s="44">
        <v>1392.8</v>
      </c>
      <c r="I170" s="45">
        <f t="shared" si="7"/>
        <v>2245.1999999999998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450</v>
      </c>
      <c r="G171" s="44">
        <v>844.87</v>
      </c>
      <c r="H171" s="44">
        <v>1392.8</v>
      </c>
      <c r="I171" s="45">
        <f t="shared" si="7"/>
        <v>2237.67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451</v>
      </c>
      <c r="G172" s="44">
        <v>852.4</v>
      </c>
      <c r="H172" s="44">
        <v>1392.8</v>
      </c>
      <c r="I172" s="45">
        <f t="shared" si="7"/>
        <v>2245.1999999999998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346</v>
      </c>
      <c r="B173" s="55" t="s">
        <v>97</v>
      </c>
      <c r="C173" s="57" t="s">
        <v>291</v>
      </c>
      <c r="D173" s="57" t="s">
        <v>199</v>
      </c>
      <c r="E173" s="46">
        <v>1</v>
      </c>
      <c r="F173" s="43" t="s">
        <v>452</v>
      </c>
      <c r="G173" s="44">
        <v>852.4</v>
      </c>
      <c r="H173" s="44">
        <v>566.5</v>
      </c>
      <c r="I173" s="45">
        <f t="shared" si="7"/>
        <v>1418.9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344</v>
      </c>
      <c r="B174" s="55" t="s">
        <v>345</v>
      </c>
      <c r="C174" s="57" t="s">
        <v>291</v>
      </c>
      <c r="D174" s="57" t="s">
        <v>199</v>
      </c>
      <c r="E174" s="46">
        <v>1</v>
      </c>
      <c r="F174" s="43" t="s">
        <v>453</v>
      </c>
      <c r="G174" s="44">
        <v>1509.2</v>
      </c>
      <c r="H174" s="44">
        <v>505.81</v>
      </c>
      <c r="I174" s="45">
        <f t="shared" si="7"/>
        <v>2015.01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367</v>
      </c>
      <c r="B175" s="55" t="s">
        <v>103</v>
      </c>
      <c r="C175" s="57" t="s">
        <v>291</v>
      </c>
      <c r="D175" s="57" t="s">
        <v>199</v>
      </c>
      <c r="E175" s="46">
        <v>1</v>
      </c>
      <c r="F175" s="43" t="s">
        <v>454</v>
      </c>
      <c r="G175" s="44">
        <v>1509.2</v>
      </c>
      <c r="H175" s="44">
        <v>364.17</v>
      </c>
      <c r="I175" s="45">
        <f t="shared" si="7"/>
        <v>1873.3700000000001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340</v>
      </c>
      <c r="B176" s="55" t="s">
        <v>93</v>
      </c>
      <c r="C176" s="57" t="s">
        <v>203</v>
      </c>
      <c r="D176" s="57" t="s">
        <v>181</v>
      </c>
      <c r="E176" s="46">
        <v>1</v>
      </c>
      <c r="F176" s="43" t="s">
        <v>455</v>
      </c>
      <c r="G176" s="44">
        <v>0</v>
      </c>
      <c r="H176" s="44">
        <v>1392.8</v>
      </c>
      <c r="I176" s="45">
        <f t="shared" si="7"/>
        <v>1392.8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456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199</v>
      </c>
      <c r="E178" s="46">
        <v>1</v>
      </c>
      <c r="F178" s="43" t="s">
        <v>457</v>
      </c>
      <c r="G178" s="44">
        <v>1509.2</v>
      </c>
      <c r="H178" s="44">
        <v>1392.8</v>
      </c>
      <c r="I178" s="45">
        <f t="shared" si="7"/>
        <v>2902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346</v>
      </c>
      <c r="B179" s="55" t="s">
        <v>97</v>
      </c>
      <c r="C179" s="57" t="s">
        <v>295</v>
      </c>
      <c r="D179" s="57" t="s">
        <v>199</v>
      </c>
      <c r="E179" s="46">
        <v>1</v>
      </c>
      <c r="F179" s="43" t="s">
        <v>458</v>
      </c>
      <c r="G179" s="44">
        <v>844.87</v>
      </c>
      <c r="H179" s="44">
        <v>566.5</v>
      </c>
      <c r="I179" s="45">
        <f t="shared" si="7"/>
        <v>1411.37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341</v>
      </c>
      <c r="B180" s="55" t="s">
        <v>342</v>
      </c>
      <c r="C180" s="57" t="s">
        <v>295</v>
      </c>
      <c r="D180" s="57" t="s">
        <v>199</v>
      </c>
      <c r="E180" s="46">
        <v>1</v>
      </c>
      <c r="F180" s="43" t="s">
        <v>459</v>
      </c>
      <c r="G180" s="44">
        <v>1509.2</v>
      </c>
      <c r="H180" s="44">
        <v>849.76</v>
      </c>
      <c r="I180" s="45">
        <f t="shared" si="7"/>
        <v>2358.96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299</v>
      </c>
      <c r="D181" s="57" t="s">
        <v>199</v>
      </c>
      <c r="E181" s="46">
        <v>1</v>
      </c>
      <c r="F181" s="43" t="s">
        <v>460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368</v>
      </c>
      <c r="D182" s="57" t="s">
        <v>199</v>
      </c>
      <c r="E182" s="46">
        <v>1</v>
      </c>
      <c r="F182" s="43" t="s">
        <v>461</v>
      </c>
      <c r="G182" s="44">
        <v>987.85</v>
      </c>
      <c r="H182" s="44">
        <v>849.76</v>
      </c>
      <c r="I182" s="45">
        <f t="shared" si="7"/>
        <v>1837.6100000000001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344</v>
      </c>
      <c r="B183" s="55" t="s">
        <v>345</v>
      </c>
      <c r="C183" s="57" t="s">
        <v>368</v>
      </c>
      <c r="D183" s="57" t="s">
        <v>199</v>
      </c>
      <c r="E183" s="46">
        <v>1</v>
      </c>
      <c r="F183" s="43" t="s">
        <v>462</v>
      </c>
      <c r="G183" s="44">
        <v>990.49</v>
      </c>
      <c r="H183" s="44">
        <v>505.81</v>
      </c>
      <c r="I183" s="45">
        <f t="shared" si="7"/>
        <v>1496.3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463</v>
      </c>
      <c r="G184" s="44">
        <v>987.85</v>
      </c>
      <c r="H184" s="44">
        <v>505.81</v>
      </c>
      <c r="I184" s="45">
        <f t="shared" si="7"/>
        <v>1493.66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346</v>
      </c>
      <c r="B185" s="55" t="s">
        <v>97</v>
      </c>
      <c r="C185" s="57" t="s">
        <v>368</v>
      </c>
      <c r="D185" s="57" t="s">
        <v>199</v>
      </c>
      <c r="E185" s="46">
        <v>1</v>
      </c>
      <c r="F185" s="43" t="s">
        <v>464</v>
      </c>
      <c r="G185" s="44">
        <v>974.09</v>
      </c>
      <c r="H185" s="44">
        <v>566.5</v>
      </c>
      <c r="I185" s="45">
        <f t="shared" si="7"/>
        <v>1540.5900000000001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369</v>
      </c>
      <c r="D186" s="57" t="s">
        <v>199</v>
      </c>
      <c r="E186" s="46">
        <v>1</v>
      </c>
      <c r="F186" s="43" t="s">
        <v>465</v>
      </c>
      <c r="G186" s="44">
        <v>852.4</v>
      </c>
      <c r="H186" s="44">
        <v>566.5</v>
      </c>
      <c r="I186" s="45">
        <f t="shared" si="7"/>
        <v>1418.9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341</v>
      </c>
      <c r="B187" s="55" t="s">
        <v>342</v>
      </c>
      <c r="C187" s="57" t="s">
        <v>370</v>
      </c>
      <c r="D187" s="57" t="s">
        <v>183</v>
      </c>
      <c r="E187" s="46">
        <v>1</v>
      </c>
      <c r="F187" s="79" t="s">
        <v>183</v>
      </c>
      <c r="G187" s="44">
        <v>0</v>
      </c>
      <c r="H187" s="44">
        <v>0</v>
      </c>
      <c r="I187" s="45">
        <f t="shared" si="7"/>
        <v>0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346</v>
      </c>
      <c r="B188" s="55" t="s">
        <v>97</v>
      </c>
      <c r="C188" s="57" t="s">
        <v>370</v>
      </c>
      <c r="D188" s="57" t="s">
        <v>181</v>
      </c>
      <c r="E188" s="46">
        <v>1</v>
      </c>
      <c r="F188" s="43" t="s">
        <v>467</v>
      </c>
      <c r="G188" s="44">
        <v>0</v>
      </c>
      <c r="H188" s="44">
        <v>566.5</v>
      </c>
      <c r="I188" s="45">
        <f t="shared" si="7"/>
        <v>566.5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371</v>
      </c>
      <c r="D189" s="57" t="s">
        <v>183</v>
      </c>
      <c r="E189" s="46">
        <v>1</v>
      </c>
      <c r="F189" s="79" t="s">
        <v>183</v>
      </c>
      <c r="G189" s="44">
        <v>0</v>
      </c>
      <c r="H189" s="44">
        <v>0</v>
      </c>
      <c r="I189" s="45">
        <f t="shared" si="7"/>
        <v>0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372</v>
      </c>
      <c r="D190" s="57" t="s">
        <v>199</v>
      </c>
      <c r="E190" s="46">
        <v>1</v>
      </c>
      <c r="F190" s="43" t="s">
        <v>469</v>
      </c>
      <c r="G190" s="44">
        <v>853.96</v>
      </c>
      <c r="H190" s="44">
        <v>566.5</v>
      </c>
      <c r="I190" s="45">
        <f t="shared" si="7"/>
        <v>1420.46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56" t="s">
        <v>340</v>
      </c>
      <c r="B191" s="55" t="s">
        <v>93</v>
      </c>
      <c r="C191" s="55" t="s">
        <v>373</v>
      </c>
      <c r="D191" s="57" t="s">
        <v>181</v>
      </c>
      <c r="E191" s="46">
        <v>1</v>
      </c>
      <c r="F191" s="47" t="s">
        <v>470</v>
      </c>
      <c r="G191" s="44">
        <v>0</v>
      </c>
      <c r="H191" s="44">
        <v>1392.8</v>
      </c>
      <c r="I191" s="45">
        <f t="shared" si="7"/>
        <v>1392.8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365</v>
      </c>
      <c r="B192" s="55" t="s">
        <v>93</v>
      </c>
      <c r="C192" s="55" t="s">
        <v>373</v>
      </c>
      <c r="D192" s="57" t="s">
        <v>199</v>
      </c>
      <c r="E192" s="46">
        <v>1</v>
      </c>
      <c r="F192" s="56" t="s">
        <v>471</v>
      </c>
      <c r="G192" s="44">
        <v>837.26</v>
      </c>
      <c r="H192" s="44">
        <v>1392.8</v>
      </c>
      <c r="I192" s="45">
        <f t="shared" si="7"/>
        <v>2230.06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340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472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365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473</v>
      </c>
      <c r="G194" s="44">
        <v>844.13</v>
      </c>
      <c r="H194" s="44">
        <v>1392.8</v>
      </c>
      <c r="I194" s="45">
        <f t="shared" si="7"/>
        <v>2236.9299999999998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346</v>
      </c>
      <c r="B195" s="55" t="s">
        <v>97</v>
      </c>
      <c r="C195" s="55" t="s">
        <v>373</v>
      </c>
      <c r="D195" s="57" t="s">
        <v>181</v>
      </c>
      <c r="E195" s="46">
        <v>1</v>
      </c>
      <c r="F195" s="56" t="s">
        <v>474</v>
      </c>
      <c r="G195" s="44">
        <v>0</v>
      </c>
      <c r="H195" s="44">
        <v>566.5</v>
      </c>
      <c r="I195" s="45">
        <f t="shared" si="7"/>
        <v>566.5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365</v>
      </c>
      <c r="B196" s="55" t="s">
        <v>93</v>
      </c>
      <c r="C196" s="55" t="s">
        <v>373</v>
      </c>
      <c r="D196" s="57" t="s">
        <v>199</v>
      </c>
      <c r="E196" s="46">
        <v>1</v>
      </c>
      <c r="F196" s="56" t="s">
        <v>475</v>
      </c>
      <c r="G196" s="44">
        <v>830.46</v>
      </c>
      <c r="H196" s="44">
        <v>1392.8</v>
      </c>
      <c r="I196" s="45">
        <f t="shared" si="7"/>
        <v>2223.2600000000002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476</v>
      </c>
      <c r="G197" s="44">
        <v>837.13</v>
      </c>
      <c r="H197" s="44">
        <v>1392.8</v>
      </c>
      <c r="I197" s="45">
        <f t="shared" si="7"/>
        <v>2229.9299999999998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45" x14ac:dyDescent="0.2">
      <c r="A198" s="63" t="s">
        <v>84</v>
      </c>
      <c r="B198" s="63" t="s">
        <v>85</v>
      </c>
      <c r="C198" s="35" t="s">
        <v>86</v>
      </c>
      <c r="D198" s="35" t="s">
        <v>87</v>
      </c>
      <c r="E198" s="35" t="s">
        <v>88</v>
      </c>
      <c r="F198" s="48"/>
      <c r="G198" s="35" t="s">
        <v>89</v>
      </c>
      <c r="H198" s="35" t="s">
        <v>90</v>
      </c>
      <c r="I198" s="35" t="s">
        <v>91</v>
      </c>
      <c r="J198" s="21"/>
      <c r="K198" s="21"/>
      <c r="L198" s="21"/>
      <c r="M198" s="21"/>
      <c r="N198" s="21"/>
      <c r="O198" s="21"/>
      <c r="P198" s="21"/>
      <c r="Q198" s="21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 spans="1:30" x14ac:dyDescent="0.2">
      <c r="A199" s="58" t="s">
        <v>92</v>
      </c>
      <c r="B199" s="59" t="s">
        <v>93</v>
      </c>
      <c r="C199" s="28">
        <f>SUMIFS($E$94:$E$197,$B$94:$B$197,"FGS-1",$D$94:$D$197,"&lt;&gt;VAGO")</f>
        <v>44</v>
      </c>
      <c r="D199" s="28">
        <f>SUMIFS($E$94:$E$197,$B$94:$B$197,"FGS-1",$D$94:$D$197,"VAGO")</f>
        <v>0</v>
      </c>
      <c r="E199" s="28">
        <f t="shared" ref="E199:E204" si="8">C199+D199</f>
        <v>44</v>
      </c>
      <c r="F199" s="29"/>
      <c r="G199" s="45">
        <f>SUMIF($B$94:$B$197,"FGS-1",$G$94:$G$197)</f>
        <v>19730.91</v>
      </c>
      <c r="H199" s="45">
        <f>SUMIF($B$94:$B$197,"FGS-1",$H$94:$H$197)</f>
        <v>61283.200000000048</v>
      </c>
      <c r="I199" s="71">
        <f>SUMIF($B$94:$B$197,"FGS-1",$I$94:$I$197)</f>
        <v>81014.11</v>
      </c>
      <c r="J199" s="21"/>
      <c r="K199" s="21"/>
      <c r="L199" s="21"/>
      <c r="M199" s="21"/>
      <c r="N199" s="21"/>
      <c r="O199" s="21"/>
      <c r="P199" s="21"/>
      <c r="Q199" s="21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spans="1:30" x14ac:dyDescent="0.2">
      <c r="A200" s="58" t="s">
        <v>94</v>
      </c>
      <c r="B200" s="59" t="s">
        <v>95</v>
      </c>
      <c r="C200" s="28">
        <f>SUMIFS($E$94:$E$197,$B$94:$B$197,"FGS-2",$D$94:$D$197,"&lt;&gt;VAGO")</f>
        <v>19</v>
      </c>
      <c r="D200" s="28">
        <f>SUMIFS($E$94:$E$197,$B$94:$B$197,"FGS-2",$D$94:$D$197,"VAGO")</f>
        <v>1</v>
      </c>
      <c r="E200" s="28">
        <f t="shared" si="8"/>
        <v>20</v>
      </c>
      <c r="F200" s="32"/>
      <c r="G200" s="45">
        <f>SUMIF($B$94:$B$197,"FGS-2",$G$94:$G$197)</f>
        <v>17888.98</v>
      </c>
      <c r="H200" s="45">
        <f>SUMIF($B$94:$B$197,"FGS-2",$H$94:$H$197)</f>
        <v>16145.440000000002</v>
      </c>
      <c r="I200" s="71">
        <f>SUMIF($B$94:$B$197,"FGS-2",$I$94:$I$197)</f>
        <v>34034.419999999991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96</v>
      </c>
      <c r="B201" s="59" t="s">
        <v>97</v>
      </c>
      <c r="C201" s="28">
        <f>SUMIFS($E$94:$E$197,$B$94:$B$197,"FGS-3",$D$94:$D$197,"&lt;&gt;VAGO")</f>
        <v>31</v>
      </c>
      <c r="D201" s="28">
        <f>SUMIFS($E$94:$E$197,$B$94:$B$197,"FGS-3",$D$94:$D$197,"VAGO")</f>
        <v>1</v>
      </c>
      <c r="E201" s="28">
        <f t="shared" si="8"/>
        <v>32</v>
      </c>
      <c r="F201" s="32"/>
      <c r="G201" s="45">
        <f>SUMIF($B$94:$B$197,"FGS-3",$G$94:$G$197)</f>
        <v>35036.65</v>
      </c>
      <c r="H201" s="45">
        <f>SUMIF($B$94:$B$197,"FGS-3",$H$94:$H$197)</f>
        <v>18387.8</v>
      </c>
      <c r="I201" s="71">
        <f>SUMIF($B$94:$B$197,"FGS-3",$I$94:$I$197)</f>
        <v>53424.450000000012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60" t="s">
        <v>98</v>
      </c>
      <c r="B202" s="61" t="s">
        <v>99</v>
      </c>
      <c r="C202" s="28">
        <f>SUMIFS($E$94:$E$197,$B$94:$B$197,"FGA-1",$D$94:$D$197,"&lt;&gt;VAGO")</f>
        <v>5</v>
      </c>
      <c r="D202" s="28">
        <f>SUMIFS($E$94:$E$197,$B$94:$B$197,"FGA-1",$D$94:$D$197,"VAGO")</f>
        <v>0</v>
      </c>
      <c r="E202" s="28">
        <f t="shared" si="8"/>
        <v>5</v>
      </c>
      <c r="F202" s="34"/>
      <c r="G202" s="45">
        <f>SUMIF($B$94:$B$197,"FGA-1",$G$94:$G$197)</f>
        <v>5171.2</v>
      </c>
      <c r="H202" s="45">
        <f>SUMIF($B$94:$B$197,"FGA-1",$H$94:$H$197)</f>
        <v>2529.0500000000002</v>
      </c>
      <c r="I202" s="71">
        <f>SUMIF($B$94:$B$197,"FGA-1",$I$94:$I$197)</f>
        <v>7700.25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58" t="s">
        <v>100</v>
      </c>
      <c r="B203" s="59" t="s">
        <v>101</v>
      </c>
      <c r="C203" s="28">
        <f>SUMIFS($E$94:$E$197,$B$94:$B$197,"FGA-2",$D$94:$D$197,"&lt;&gt;VAGO")</f>
        <v>2</v>
      </c>
      <c r="D203" s="28">
        <f>SUMIFS($E$94:$E$197,$B$94:$B$197,"FGA-2",$D$94:$D$197,"VAGO")</f>
        <v>0</v>
      </c>
      <c r="E203" s="28">
        <f t="shared" si="8"/>
        <v>2</v>
      </c>
      <c r="F203" s="34"/>
      <c r="G203" s="45">
        <f>SUMIF($B$94:$B$197,"FGA-2",$G$94:$G$197)</f>
        <v>2340.46</v>
      </c>
      <c r="H203" s="45">
        <f>SUMIF($B$94:$B$197,"FGA-2",$H$94:$H$197)</f>
        <v>1315.1100000000001</v>
      </c>
      <c r="I203" s="71">
        <f>SUMIF($B$94:$B$197,"FGA-2",$I$94:$I$197)</f>
        <v>3655.57</v>
      </c>
      <c r="J203" s="21"/>
      <c r="K203" s="21"/>
      <c r="L203" s="21"/>
      <c r="M203" s="21"/>
      <c r="N203" s="21"/>
      <c r="O203" s="21"/>
      <c r="P203" s="21"/>
      <c r="Q203" s="21"/>
      <c r="R203" s="40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102</v>
      </c>
      <c r="B204" s="59" t="s">
        <v>103</v>
      </c>
      <c r="C204" s="28">
        <f>SUMIFS($E$94:$E$197,$B$94:$B$197,"FGA-3",$D$94:$D$197,"&lt;&gt;VAGO")</f>
        <v>1</v>
      </c>
      <c r="D204" s="28">
        <f>SUMIFS($E$94:$E$197,$B$94:$B$197,"FGA-3",$D$94:$D$197,"VAGO")</f>
        <v>0</v>
      </c>
      <c r="E204" s="28">
        <f t="shared" si="8"/>
        <v>1</v>
      </c>
      <c r="F204" s="32"/>
      <c r="G204" s="45">
        <f>SUMIF($B$94:$B$197,"FGA-3",$G$94:$G$197)</f>
        <v>1509.2</v>
      </c>
      <c r="H204" s="45">
        <f>SUMIF($B$94:$B$197,"FGA-3",$H$94:$H$197)</f>
        <v>364.17</v>
      </c>
      <c r="I204" s="71">
        <f>SUMIF($B$94:$B$197,"FGA-3",$I$94:$I$197)</f>
        <v>1873.3700000000001</v>
      </c>
      <c r="J204" s="21"/>
      <c r="K204" s="21"/>
      <c r="L204" s="21"/>
      <c r="M204" s="21"/>
      <c r="N204" s="21"/>
      <c r="O204" s="21"/>
      <c r="P204" s="21"/>
      <c r="Q204" s="21"/>
      <c r="R204" s="49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 spans="1:30" ht="30" x14ac:dyDescent="0.2">
      <c r="A205" s="63" t="s">
        <v>104</v>
      </c>
      <c r="B205" s="48"/>
      <c r="C205" s="35">
        <f t="shared" ref="C205:E205" si="9">SUM(C199:C204)</f>
        <v>102</v>
      </c>
      <c r="D205" s="35">
        <f t="shared" si="9"/>
        <v>2</v>
      </c>
      <c r="E205" s="35">
        <f t="shared" si="9"/>
        <v>104</v>
      </c>
      <c r="F205" s="48"/>
      <c r="G205" s="51">
        <f t="shared" ref="G205:I205" si="10">SUM(G199:G204)</f>
        <v>81677.400000000009</v>
      </c>
      <c r="H205" s="51">
        <f t="shared" si="10"/>
        <v>100024.77000000005</v>
      </c>
      <c r="I205" s="51">
        <f t="shared" si="10"/>
        <v>181702.17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3" customHeight="1" x14ac:dyDescent="0.2">
      <c r="A206" s="37"/>
      <c r="B206" s="37"/>
      <c r="C206" s="37"/>
      <c r="D206" s="37"/>
      <c r="E206" s="37"/>
      <c r="F206" s="37"/>
      <c r="G206" s="37"/>
      <c r="H206" s="37"/>
      <c r="I206" s="62"/>
      <c r="J206" s="62"/>
      <c r="K206" s="7"/>
      <c r="L206" s="62"/>
      <c r="M206" s="62"/>
      <c r="N206" s="62"/>
      <c r="O206" s="62"/>
      <c r="P206" s="62"/>
      <c r="Q206" s="62"/>
      <c r="R206" s="40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spans="1:30" ht="45" x14ac:dyDescent="0.2">
      <c r="A207" s="63"/>
      <c r="B207" s="63"/>
      <c r="C207" s="35" t="s">
        <v>105</v>
      </c>
      <c r="D207" s="35" t="s">
        <v>106</v>
      </c>
      <c r="E207" s="35" t="s">
        <v>107</v>
      </c>
      <c r="F207" s="25"/>
      <c r="G207" s="35" t="s">
        <v>108</v>
      </c>
      <c r="H207" s="35" t="s">
        <v>109</v>
      </c>
      <c r="I207" s="35" t="s">
        <v>110</v>
      </c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30" x14ac:dyDescent="0.2">
      <c r="A208" s="63" t="s">
        <v>111</v>
      </c>
      <c r="B208" s="25"/>
      <c r="C208" s="35">
        <f>SUM(C39+C90+C205)</f>
        <v>150</v>
      </c>
      <c r="D208" s="35">
        <f>SUM(D39+D90+D205)</f>
        <v>15</v>
      </c>
      <c r="E208" s="35">
        <f>SUM(E39+E90+E205)</f>
        <v>165</v>
      </c>
      <c r="F208" s="25"/>
      <c r="G208" s="51">
        <f>SUM(H39+G90+G205)</f>
        <v>146487.32</v>
      </c>
      <c r="H208" s="51">
        <f>SUM(I39+H90+H205)</f>
        <v>287543.58000000007</v>
      </c>
      <c r="I208" s="51">
        <f>SUM(J39+I90+I205)</f>
        <v>452030.9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customHeight="1" x14ac:dyDescent="0.2">
      <c r="A209" s="37"/>
      <c r="B209" s="37"/>
      <c r="C209" s="37"/>
      <c r="D209" s="37"/>
      <c r="E209" s="37"/>
      <c r="F209" s="37"/>
      <c r="G209" s="37"/>
      <c r="H209" s="37"/>
      <c r="I209" s="62"/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x14ac:dyDescent="0.2">
      <c r="A210" s="100" t="s">
        <v>112</v>
      </c>
      <c r="B210" s="93"/>
      <c r="C210" s="93"/>
      <c r="D210" s="93"/>
      <c r="E210" s="93"/>
      <c r="F210" s="94"/>
      <c r="G210" s="21"/>
      <c r="H210" s="37"/>
      <c r="I210" s="37"/>
      <c r="J210" s="37"/>
      <c r="K210" s="21"/>
      <c r="L210" s="37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ht="15" customHeight="1" x14ac:dyDescent="0.2">
      <c r="A211" s="101" t="s">
        <v>113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37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482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2" t="s">
        <v>483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481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480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x14ac:dyDescent="0.2">
      <c r="A216" s="103"/>
      <c r="B216" s="96"/>
      <c r="C216" s="96"/>
      <c r="D216" s="96"/>
      <c r="E216" s="96"/>
      <c r="F216" s="96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0" t="s">
        <v>114</v>
      </c>
      <c r="B217" s="93"/>
      <c r="C217" s="93"/>
      <c r="D217" s="93"/>
      <c r="E217" s="93"/>
      <c r="F217" s="94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4" t="s">
        <v>115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92" t="s">
        <v>116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117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118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119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120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121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122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123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124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125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126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127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128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129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130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131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132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133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134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135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136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137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138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64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</row>
    <row r="242" spans="1:30" x14ac:dyDescent="0.2">
      <c r="A242" s="92" t="s">
        <v>139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140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141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142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143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144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145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146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147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148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149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150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151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152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153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154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155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ht="14.25" x14ac:dyDescent="0.2">
      <c r="A259" s="92" t="s">
        <v>156</v>
      </c>
      <c r="B259" s="93"/>
      <c r="C259" s="93"/>
      <c r="D259" s="93"/>
      <c r="E259" s="93"/>
      <c r="F259" s="94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157</v>
      </c>
      <c r="B260" s="93"/>
      <c r="C260" s="93"/>
      <c r="D260" s="93"/>
      <c r="E260" s="93"/>
      <c r="F260" s="94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158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159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160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161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162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163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164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165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166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167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168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169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170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171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172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173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174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175</v>
      </c>
      <c r="B278" s="93"/>
      <c r="C278" s="93"/>
      <c r="D278" s="93"/>
      <c r="E278" s="93"/>
      <c r="F278" s="94"/>
      <c r="G278" s="68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/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</sheetData>
  <mergeCells count="76">
    <mergeCell ref="A41:I41"/>
    <mergeCell ref="A1:J1"/>
    <mergeCell ref="A2:J2"/>
    <mergeCell ref="A3:J3"/>
    <mergeCell ref="B4:J4"/>
    <mergeCell ref="A5:J5"/>
    <mergeCell ref="A220:F220"/>
    <mergeCell ref="A92:I92"/>
    <mergeCell ref="A210:F210"/>
    <mergeCell ref="A211:F211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32:F232"/>
    <mergeCell ref="A221:F221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44:F244"/>
    <mergeCell ref="A233:F233"/>
    <mergeCell ref="A234:F234"/>
    <mergeCell ref="A235:F235"/>
    <mergeCell ref="A236:F236"/>
    <mergeCell ref="A237:F237"/>
    <mergeCell ref="A238:F238"/>
    <mergeCell ref="A239:F239"/>
    <mergeCell ref="A240:F240"/>
    <mergeCell ref="A241:F241"/>
    <mergeCell ref="A242:F242"/>
    <mergeCell ref="A243:F243"/>
    <mergeCell ref="A256:F256"/>
    <mergeCell ref="A245:F245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F255"/>
    <mergeCell ref="A268:F268"/>
    <mergeCell ref="A257:F257"/>
    <mergeCell ref="A258:F258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75:F275"/>
    <mergeCell ref="A276:F276"/>
    <mergeCell ref="A277:F277"/>
    <mergeCell ref="A278:F278"/>
    <mergeCell ref="A269:F269"/>
    <mergeCell ref="A270:F270"/>
    <mergeCell ref="A271:F271"/>
    <mergeCell ref="A272:F272"/>
    <mergeCell ref="A273:F273"/>
    <mergeCell ref="A274:F274"/>
  </mergeCells>
  <dataValidations count="4">
    <dataValidation type="list" allowBlank="1" sqref="B94:B197">
      <formula1>"FGS-1,FGS-2,FGS-3,FGA-1,FGA-2,FGA-3"</formula1>
    </dataValidation>
    <dataValidation type="list" allowBlank="1" sqref="D7:D26 D43:D83 D94:D197">
      <formula1>"AGP,CLH,CLT,COM,CTD,CTI,DES,DISP,ELE,ESG,EST,EXM,EXQ,EXR,FRQ,REV,VAGO"</formula1>
    </dataValidation>
    <dataValidation type="list" allowBlank="1" sqref="B43:B83">
      <formula1>"FDA,FDA-1,FDA-2,FDA-3,FDA-4"</formula1>
    </dataValidation>
    <dataValidation type="list" allowBlank="1" sqref="B7:B26">
      <formula1>"DAS,DAS-1,DAS-2,DAS-3,DAS-4,DAS-5,CAA-1,CAA-2,CAA-3,CAA-4,CAA-5"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8"/>
  <sheetViews>
    <sheetView zoomScale="85" zoomScaleNormal="85" workbookViewId="0">
      <selection activeCell="C19" sqref="C19"/>
    </sheetView>
  </sheetViews>
  <sheetFormatPr defaultColWidth="12.625" defaultRowHeight="15" customHeight="1" x14ac:dyDescent="0.2"/>
  <cols>
    <col min="1" max="1" width="69.75" style="75" bestFit="1" customWidth="1"/>
    <col min="2" max="2" width="9.75" style="75" bestFit="1" customWidth="1"/>
    <col min="3" max="3" width="24" style="75" bestFit="1" customWidth="1"/>
    <col min="4" max="4" width="12.25" style="75" bestFit="1" customWidth="1"/>
    <col min="5" max="5" width="9.25" style="75" bestFit="1" customWidth="1"/>
    <col min="6" max="6" width="44.125" style="75" bestFit="1" customWidth="1"/>
    <col min="7" max="7" width="17.5" style="75" bestFit="1" customWidth="1"/>
    <col min="8" max="8" width="17.875" style="75" bestFit="1" customWidth="1"/>
    <col min="9" max="9" width="17.875" style="75" customWidth="1"/>
    <col min="10" max="10" width="11.75" style="75" bestFit="1" customWidth="1"/>
    <col min="11" max="16" width="8" style="75" customWidth="1"/>
    <col min="17" max="17" width="43.875" style="75" customWidth="1"/>
    <col min="18" max="30" width="8" style="75" customWidth="1"/>
    <col min="31" max="16384" width="12.625" style="75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493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5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2" t="s">
        <v>182</v>
      </c>
      <c r="B8" s="57" t="s">
        <v>41</v>
      </c>
      <c r="C8" s="57" t="s">
        <v>178</v>
      </c>
      <c r="D8" s="57" t="s">
        <v>183</v>
      </c>
      <c r="E8" s="46">
        <v>1</v>
      </c>
      <c r="F8" s="47" t="s">
        <v>183</v>
      </c>
      <c r="G8" s="44">
        <v>0</v>
      </c>
      <c r="H8" s="44">
        <v>0</v>
      </c>
      <c r="I8" s="44">
        <v>0</v>
      </c>
      <c r="J8" s="45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7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184</v>
      </c>
      <c r="B11" s="57" t="s">
        <v>43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185</v>
      </c>
      <c r="B12" s="57" t="s">
        <v>33</v>
      </c>
      <c r="C12" s="57" t="s">
        <v>178</v>
      </c>
      <c r="D12" s="57" t="s">
        <v>183</v>
      </c>
      <c r="E12" s="46">
        <v>1</v>
      </c>
      <c r="F12" s="47" t="s">
        <v>183</v>
      </c>
      <c r="G12" s="44">
        <v>0</v>
      </c>
      <c r="H12" s="44">
        <v>0</v>
      </c>
      <c r="I12" s="44">
        <v>0</v>
      </c>
      <c r="J12" s="45">
        <f t="shared" si="0"/>
        <v>0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186</v>
      </c>
      <c r="B13" s="57" t="s">
        <v>39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187</v>
      </c>
      <c r="B14" s="57" t="s">
        <v>37</v>
      </c>
      <c r="C14" s="57" t="s">
        <v>178</v>
      </c>
      <c r="D14" s="57" t="s">
        <v>188</v>
      </c>
      <c r="E14" s="46">
        <v>1</v>
      </c>
      <c r="F14" s="47" t="s">
        <v>213</v>
      </c>
      <c r="G14" s="44">
        <v>0</v>
      </c>
      <c r="H14" s="44">
        <v>0</v>
      </c>
      <c r="I14" s="44">
        <v>3083.01</v>
      </c>
      <c r="J14" s="45">
        <f t="shared" si="0"/>
        <v>3083.01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189</v>
      </c>
      <c r="B15" s="57" t="s">
        <v>39</v>
      </c>
      <c r="C15" s="57" t="s">
        <v>190</v>
      </c>
      <c r="D15" s="57" t="s">
        <v>183</v>
      </c>
      <c r="E15" s="46">
        <v>1</v>
      </c>
      <c r="F15" s="47" t="s">
        <v>183</v>
      </c>
      <c r="G15" s="44">
        <v>0</v>
      </c>
      <c r="H15" s="44">
        <v>0</v>
      </c>
      <c r="I15" s="44">
        <v>0</v>
      </c>
      <c r="J15" s="45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191</v>
      </c>
      <c r="B16" s="57" t="s">
        <v>25</v>
      </c>
      <c r="C16" s="57" t="s">
        <v>192</v>
      </c>
      <c r="D16" s="57" t="s">
        <v>181</v>
      </c>
      <c r="E16" s="46">
        <v>1</v>
      </c>
      <c r="F16" s="47" t="s">
        <v>214</v>
      </c>
      <c r="G16" s="44">
        <v>0</v>
      </c>
      <c r="H16" s="44">
        <v>0</v>
      </c>
      <c r="I16" s="44">
        <v>10400</v>
      </c>
      <c r="J16" s="45">
        <f t="shared" si="0"/>
        <v>10400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47" t="s">
        <v>193</v>
      </c>
      <c r="B17" s="57" t="s">
        <v>33</v>
      </c>
      <c r="C17" s="57" t="s">
        <v>194</v>
      </c>
      <c r="D17" s="57" t="s">
        <v>181</v>
      </c>
      <c r="E17" s="46">
        <v>1</v>
      </c>
      <c r="F17" s="47" t="s">
        <v>215</v>
      </c>
      <c r="G17" s="44">
        <v>0</v>
      </c>
      <c r="H17" s="44">
        <v>0</v>
      </c>
      <c r="I17" s="44">
        <v>4316.21</v>
      </c>
      <c r="J17" s="45">
        <f t="shared" si="0"/>
        <v>4316.21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195</v>
      </c>
      <c r="B18" s="57" t="s">
        <v>33</v>
      </c>
      <c r="C18" s="57" t="s">
        <v>196</v>
      </c>
      <c r="D18" s="57" t="s">
        <v>188</v>
      </c>
      <c r="E18" s="46">
        <v>1</v>
      </c>
      <c r="F18" s="47" t="s">
        <v>486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197</v>
      </c>
      <c r="B19" s="57" t="s">
        <v>33</v>
      </c>
      <c r="C19" s="73" t="s">
        <v>488</v>
      </c>
      <c r="D19" s="57" t="s">
        <v>199</v>
      </c>
      <c r="E19" s="46">
        <v>1</v>
      </c>
      <c r="F19" s="47" t="s">
        <v>216</v>
      </c>
      <c r="G19" s="44">
        <v>0</v>
      </c>
      <c r="H19" s="44">
        <v>1109.1600000000001</v>
      </c>
      <c r="I19" s="44">
        <v>4316.21</v>
      </c>
      <c r="J19" s="45">
        <f t="shared" si="0"/>
        <v>5425.37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200</v>
      </c>
      <c r="B20" s="57" t="s">
        <v>37</v>
      </c>
      <c r="C20" s="57" t="s">
        <v>201</v>
      </c>
      <c r="D20" s="57" t="s">
        <v>183</v>
      </c>
      <c r="E20" s="46">
        <v>1</v>
      </c>
      <c r="F20" s="47" t="s">
        <v>183</v>
      </c>
      <c r="G20" s="44">
        <v>0</v>
      </c>
      <c r="H20" s="44">
        <v>0</v>
      </c>
      <c r="I20" s="44">
        <v>0</v>
      </c>
      <c r="J20" s="45">
        <f t="shared" si="0"/>
        <v>0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202</v>
      </c>
      <c r="B21" s="57" t="s">
        <v>33</v>
      </c>
      <c r="C21" s="57" t="s">
        <v>203</v>
      </c>
      <c r="D21" s="57" t="s">
        <v>183</v>
      </c>
      <c r="E21" s="46">
        <v>1</v>
      </c>
      <c r="F21" s="47" t="s">
        <v>183</v>
      </c>
      <c r="G21" s="44">
        <v>0</v>
      </c>
      <c r="H21" s="44">
        <v>0</v>
      </c>
      <c r="I21" s="44">
        <v>0</v>
      </c>
      <c r="J21" s="45">
        <f t="shared" si="0"/>
        <v>0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204</v>
      </c>
      <c r="B22" s="57" t="s">
        <v>37</v>
      </c>
      <c r="C22" s="57" t="s">
        <v>205</v>
      </c>
      <c r="D22" s="57" t="s">
        <v>199</v>
      </c>
      <c r="E22" s="46">
        <v>1</v>
      </c>
      <c r="F22" s="72" t="s">
        <v>489</v>
      </c>
      <c r="G22" s="44">
        <v>0</v>
      </c>
      <c r="H22" s="44">
        <v>1509.2</v>
      </c>
      <c r="I22" s="44">
        <v>3083.01</v>
      </c>
      <c r="J22" s="45">
        <f t="shared" si="0"/>
        <v>4592.21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206</v>
      </c>
      <c r="B23" s="57" t="s">
        <v>37</v>
      </c>
      <c r="C23" s="57" t="s">
        <v>207</v>
      </c>
      <c r="D23" s="57" t="s">
        <v>183</v>
      </c>
      <c r="E23" s="46">
        <v>1</v>
      </c>
      <c r="F23" s="47" t="s">
        <v>183</v>
      </c>
      <c r="G23" s="44">
        <v>0</v>
      </c>
      <c r="H23" s="44">
        <v>0</v>
      </c>
      <c r="I23" s="44">
        <v>0</v>
      </c>
      <c r="J23" s="45">
        <f t="shared" si="0"/>
        <v>0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187</v>
      </c>
      <c r="B24" s="57" t="s">
        <v>37</v>
      </c>
      <c r="C24" s="57" t="s">
        <v>208</v>
      </c>
      <c r="D24" s="57" t="s">
        <v>199</v>
      </c>
      <c r="E24" s="46">
        <v>1</v>
      </c>
      <c r="F24" s="47" t="s">
        <v>218</v>
      </c>
      <c r="G24" s="44">
        <v>0</v>
      </c>
      <c r="H24" s="44">
        <v>24932.44</v>
      </c>
      <c r="I24" s="44">
        <v>3083.01</v>
      </c>
      <c r="J24" s="45">
        <f t="shared" si="0"/>
        <v>28015.449999999997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209</v>
      </c>
      <c r="B25" s="57" t="s">
        <v>31</v>
      </c>
      <c r="C25" s="57" t="s">
        <v>210</v>
      </c>
      <c r="D25" s="57" t="s">
        <v>183</v>
      </c>
      <c r="E25" s="46">
        <v>1</v>
      </c>
      <c r="F25" s="47" t="s">
        <v>183</v>
      </c>
      <c r="G25" s="44">
        <v>0</v>
      </c>
      <c r="H25" s="44">
        <v>0</v>
      </c>
      <c r="I25" s="44">
        <v>0</v>
      </c>
      <c r="J25" s="45">
        <f t="shared" si="0"/>
        <v>0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45" x14ac:dyDescent="0.2">
      <c r="A26" s="63" t="s">
        <v>13</v>
      </c>
      <c r="B26" s="63" t="s">
        <v>14</v>
      </c>
      <c r="C26" s="35" t="s">
        <v>15</v>
      </c>
      <c r="D26" s="35" t="s">
        <v>16</v>
      </c>
      <c r="E26" s="35" t="s">
        <v>17</v>
      </c>
      <c r="F26" s="25"/>
      <c r="G26" s="35" t="s">
        <v>18</v>
      </c>
      <c r="H26" s="35" t="s">
        <v>19</v>
      </c>
      <c r="I26" s="35" t="s">
        <v>20</v>
      </c>
      <c r="J26" s="35" t="s">
        <v>21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">
      <c r="A27" s="58" t="s">
        <v>22</v>
      </c>
      <c r="B27" s="46" t="s">
        <v>23</v>
      </c>
      <c r="C27" s="28">
        <f>SUMIFS($E$7:$E$25,$B$7:$B$25,"DAS",$D$7:$D$25,"&lt;&gt;VAGO")</f>
        <v>1</v>
      </c>
      <c r="D27" s="28">
        <f>SUMIFS($E$7:$E$25,$B$7:$B$25,"DAS",$D$7:$D$25,"VAGO")</f>
        <v>0</v>
      </c>
      <c r="E27" s="28">
        <f t="shared" ref="E27:E37" si="1">C27+D27</f>
        <v>1</v>
      </c>
      <c r="F27" s="29"/>
      <c r="G27" s="30">
        <f>SUMIF($B$7:$B$25,"DAS",$G$7:$G$25)</f>
        <v>18000</v>
      </c>
      <c r="H27" s="30">
        <f>SUMIF($B$7:$B$25,"DAS",$H$7:$H$25)</f>
        <v>0</v>
      </c>
      <c r="I27" s="30">
        <f>SUMIF($B$7:$B$25,"DAS",$I$7:$I$25)</f>
        <v>0</v>
      </c>
      <c r="J27" s="30">
        <f>SUMIF($B$7:$B$25,"DAS",$J$7:$J$25)</f>
        <v>18000</v>
      </c>
      <c r="K27" s="37"/>
      <c r="L27" s="37"/>
      <c r="M27" s="37"/>
      <c r="N27" s="37"/>
      <c r="O27" s="37"/>
      <c r="P27" s="37"/>
      <c r="Q27" s="37"/>
    </row>
    <row r="28" spans="1:30" x14ac:dyDescent="0.2">
      <c r="A28" s="58" t="s">
        <v>24</v>
      </c>
      <c r="B28" s="46" t="s">
        <v>25</v>
      </c>
      <c r="C28" s="28">
        <f>SUMIFS($E$7:$E$25,$B$7:$B$25,"DAS-1",$D$7:$D$25,"&lt;&gt;VAGO")</f>
        <v>1</v>
      </c>
      <c r="D28" s="28">
        <f>SUMIFS($E$7:$E$25,$B$7:$B$25,"DAS-1",$D$7:$D$25,"VAGO")</f>
        <v>0</v>
      </c>
      <c r="E28" s="28">
        <f t="shared" si="1"/>
        <v>1</v>
      </c>
      <c r="F28" s="32"/>
      <c r="G28" s="30">
        <f>SUMIF($B$7:$B$25,"DAS-1",$G$7:$G$25)</f>
        <v>0</v>
      </c>
      <c r="H28" s="30">
        <f>SUMIF($B$7:$B$25,"DAS-1",$H$7:$H$25)</f>
        <v>0</v>
      </c>
      <c r="I28" s="30">
        <f>SUMIF($B$7:$B$25,"DAS-1",$I$7:$I$25)</f>
        <v>10400</v>
      </c>
      <c r="J28" s="30">
        <f>SUMIF($B$7:$B$25,"DAS-1",$J$7:$J$25)</f>
        <v>10400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26</v>
      </c>
      <c r="B29" s="46" t="s">
        <v>27</v>
      </c>
      <c r="C29" s="28">
        <f>SUMIFS($E$7:$E$25,$B$7:$B$25,"DAS-2",$D$7:$D$25,"&lt;&gt;VAGO")</f>
        <v>0</v>
      </c>
      <c r="D29" s="28">
        <f>SUMIFS($E$7:$E$25,$B$7:$B$25,"DAS-2",$D$7:$D$25,"VAGO")</f>
        <v>0</v>
      </c>
      <c r="E29" s="28">
        <f t="shared" si="1"/>
        <v>0</v>
      </c>
      <c r="F29" s="32"/>
      <c r="G29" s="30">
        <f>SUMIF($B$7:$B$25,"DAS-2",$G$7:$G$25)</f>
        <v>0</v>
      </c>
      <c r="H29" s="30">
        <f>SUMIF($B$7:$B$25,"DAS-2",$H$7:$H$25)</f>
        <v>0</v>
      </c>
      <c r="I29" s="30">
        <f>SUMIF($B$7:$B$25,"DAS-2",$I$7:$I$25)</f>
        <v>0</v>
      </c>
      <c r="J29" s="30">
        <f>SUMIF($B$7:$B$25,"DAS-2",$J$7:$J$25)</f>
        <v>0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28</v>
      </c>
      <c r="B30" s="46" t="s">
        <v>29</v>
      </c>
      <c r="C30" s="28">
        <f>SUMIFS($E$7:$E$25,$B$7:$B$25,"DAS-3",$D$7:$D$25,"&lt;&gt;VAGO")</f>
        <v>0</v>
      </c>
      <c r="D30" s="28">
        <f>SUMIFS($E$7:$E$25,$B$7:$B$25,"DAS-3",$D$7:$D$25,"VAGO")</f>
        <v>0</v>
      </c>
      <c r="E30" s="28">
        <f t="shared" si="1"/>
        <v>0</v>
      </c>
      <c r="F30" s="32"/>
      <c r="G30" s="30">
        <f>SUMIF($B$7:$B$25,"DAS-3",$G$7:$G$25)</f>
        <v>0</v>
      </c>
      <c r="H30" s="30">
        <f>SUMIF($B$7:$B$25,"DAS-3",$H$7:$H$25)</f>
        <v>0</v>
      </c>
      <c r="I30" s="30">
        <f>SUMIF($B$7:$B$25,"DAS-3",$I$7:$I$25)</f>
        <v>0</v>
      </c>
      <c r="J30" s="30">
        <f>SUMIF($B$7:$B$25,"DAS-3",$J$7:$J$25)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60" t="s">
        <v>30</v>
      </c>
      <c r="B31" s="46" t="s">
        <v>31</v>
      </c>
      <c r="C31" s="28">
        <f>SUMIFS($E$7:$E$25,$B$7:$B$25,"DAS-4",$D$7:$D$25,"&lt;&gt;VAGO")</f>
        <v>0</v>
      </c>
      <c r="D31" s="28">
        <f>SUMIFS($E$7:$E$25,$B$7:$B$25,"DAS-4",$D$7:$D$25,"VAGO")</f>
        <v>1</v>
      </c>
      <c r="E31" s="28">
        <f t="shared" si="1"/>
        <v>1</v>
      </c>
      <c r="F31" s="34"/>
      <c r="G31" s="30">
        <f>SUMIF($B$7:$B$25,"DAS-4",$G$7:$G$25)</f>
        <v>0</v>
      </c>
      <c r="H31" s="30">
        <f>SUMIF($B$7:$B$25,"DAS-4",$H$7:$H$25)</f>
        <v>0</v>
      </c>
      <c r="I31" s="30">
        <f>SUMIF($B$7:$B$25,"DAS-4",$I$7:$I$25)</f>
        <v>0</v>
      </c>
      <c r="J31" s="30">
        <f>SUMIF($B$7:$B$25,"DAS-4",$J$7:$J$25)</f>
        <v>0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32</v>
      </c>
      <c r="B32" s="46" t="s">
        <v>33</v>
      </c>
      <c r="C32" s="28">
        <f>SUMIFS($E$7:$E$25,$B$7:$B$25,"DAS-5",$D$7:$D$25,"&lt;&gt;VAGO")</f>
        <v>3</v>
      </c>
      <c r="D32" s="28">
        <f>SUMIFS($E$7:$E$25,$B$7:$B$25,"DAS-5",$D$7:$D$25,"VAGO")</f>
        <v>2</v>
      </c>
      <c r="E32" s="28">
        <f t="shared" si="1"/>
        <v>5</v>
      </c>
      <c r="F32" s="34"/>
      <c r="G32" s="30">
        <f>SUMIF($B$7:$B$25,"DAS-5",$G$7:$G$25)</f>
        <v>0</v>
      </c>
      <c r="H32" s="30">
        <f>SUMIF($B$7:$B$25,"DAS-5",$H$7:$H$25)</f>
        <v>1109.1600000000001</v>
      </c>
      <c r="I32" s="30">
        <f>SUMIF($B$7:$B$25,"DAS-5",$I$7:$I$25)</f>
        <v>12948.630000000001</v>
      </c>
      <c r="J32" s="30">
        <f>SUMIF($B$7:$B$25,"DAS-5",$J$7:$J$25)</f>
        <v>14057.79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34</v>
      </c>
      <c r="B33" s="46" t="s">
        <v>35</v>
      </c>
      <c r="C33" s="28">
        <f>SUMIFS($E$7:$E$25,$B$7:$B$25,"CAA-1",$D$7:$D$25,"&lt;&gt;VAGO")</f>
        <v>0</v>
      </c>
      <c r="D33" s="28">
        <f>SUMIFS($E$7:$E$25,$B$7:$B$25,"CAA-1",$D$7:$D$25,"VAGO")</f>
        <v>0</v>
      </c>
      <c r="E33" s="28">
        <f t="shared" si="1"/>
        <v>0</v>
      </c>
      <c r="F33" s="34"/>
      <c r="G33" s="30">
        <f>SUMIF($B$7:$B$25,"CAA-1",$G$7:$G$25)</f>
        <v>0</v>
      </c>
      <c r="H33" s="30">
        <f>SUMIF($B$7:$B$25,"CAA-1",$H$7:$H$25)</f>
        <v>0</v>
      </c>
      <c r="I33" s="30">
        <f>SUMIF($B$7:$B$25,"CAA-1",$I$7:$I$25)</f>
        <v>0</v>
      </c>
      <c r="J33" s="30">
        <f>SUMIF($B$7:$B$25,"CAA-1",$J$7:$J$25)</f>
        <v>0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36</v>
      </c>
      <c r="B34" s="46" t="s">
        <v>37</v>
      </c>
      <c r="C34" s="28">
        <f>SUMIFS($E$7:$E$25,$B$7:$B$25,"CAA-2",$D$7:$D$25,"&lt;&gt;VAGO")</f>
        <v>3</v>
      </c>
      <c r="D34" s="28">
        <f>SUMIFS($E$7:$E$25,$B$7:$B$25,"CAA-2",$D$7:$D$25,"VAGO")</f>
        <v>2</v>
      </c>
      <c r="E34" s="28">
        <f t="shared" si="1"/>
        <v>5</v>
      </c>
      <c r="F34" s="34"/>
      <c r="G34" s="30">
        <f>SUMIF($B$7:$B$25,"CAA-2",$G$7:$G$25)</f>
        <v>0</v>
      </c>
      <c r="H34" s="30">
        <f>SUMIF($B$7:$B$25,"CAA-2",$H$7:$H$25)</f>
        <v>26441.64</v>
      </c>
      <c r="I34" s="30">
        <f>SUMIF($B$7:$B$25,"CAA-2",$I$7:$I$25)</f>
        <v>9249.0300000000007</v>
      </c>
      <c r="J34" s="30">
        <f>SUMIF($B$7:$B$25,"CAA-2",$J$7:$J$25)</f>
        <v>35690.67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38</v>
      </c>
      <c r="B35" s="46" t="s">
        <v>39</v>
      </c>
      <c r="C35" s="28">
        <f>SUMIFS($E$7:$E$25,$B$7:$B$25,"CAA-3",$D$7:$D$25,"&lt;&gt;VAGO")</f>
        <v>0</v>
      </c>
      <c r="D35" s="28">
        <f>SUMIFS($E$7:$E$25,$B$7:$B$25,"CAA-3",$D$7:$D$25,"VAGO")</f>
        <v>2</v>
      </c>
      <c r="E35" s="28">
        <f t="shared" si="1"/>
        <v>2</v>
      </c>
      <c r="F35" s="32"/>
      <c r="G35" s="30">
        <f>SUMIF($B$7:$B$25,"CAA-3",$G$7:$G$25)</f>
        <v>0</v>
      </c>
      <c r="H35" s="30">
        <f>SUMIF($B$7:$B$25,"CAA-3",$H$7:$H$25)</f>
        <v>0</v>
      </c>
      <c r="I35" s="30">
        <f>SUMIF($B$7:$B$25,"CAA-3",$I$7:$I$25)</f>
        <v>0</v>
      </c>
      <c r="J35" s="30">
        <f>SUMIF($B$7:$B$25,"CAA-3",$J$7:$J$25)</f>
        <v>0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40</v>
      </c>
      <c r="B36" s="46" t="s">
        <v>41</v>
      </c>
      <c r="C36" s="28">
        <f>SUMIFS($E$7:$E$25,$B$7:$B$25,"CAA-4",$D$7:$D$25,"&lt;&gt;VAGO")</f>
        <v>0</v>
      </c>
      <c r="D36" s="28">
        <f>SUMIFS($E$7:$E$25,$B$7:$B$25,"CAA-4",$D$7:$D$25,"VAGO")</f>
        <v>3</v>
      </c>
      <c r="E36" s="28">
        <f t="shared" si="1"/>
        <v>3</v>
      </c>
      <c r="F36" s="32"/>
      <c r="G36" s="30">
        <f>SUMIF($B$7:$B$25,"CAA-4",$G$7:$G$25)</f>
        <v>0</v>
      </c>
      <c r="H36" s="30">
        <f>SUMIF($B$7:$B$25,"CAA-4",$H$7:$H$25)</f>
        <v>0</v>
      </c>
      <c r="I36" s="30">
        <f>SUMIF($B$7:$B$25,"CAA-4",$I$7:$I$25)</f>
        <v>0</v>
      </c>
      <c r="J36" s="30">
        <f>SUMIF($B$7:$B$25,"CAA-4",$J$7:$J$25)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42</v>
      </c>
      <c r="B37" s="46" t="s">
        <v>43</v>
      </c>
      <c r="C37" s="28">
        <f>SUMIFS($E$7:$E$25,$B$7:$B$25,"CAA-5",$D$7:$D$25,"&lt;&gt;VAGO")</f>
        <v>0</v>
      </c>
      <c r="D37" s="28">
        <f>SUMIFS($E$7:$E$25,$B$7:$B$25,"CAA-5",$D$7:$D$25,"VAGO")</f>
        <v>1</v>
      </c>
      <c r="E37" s="28">
        <f t="shared" si="1"/>
        <v>1</v>
      </c>
      <c r="F37" s="32"/>
      <c r="G37" s="30">
        <f>SUMIF($B$7:$B$25,"CAA-5",$G$7:$G$25)</f>
        <v>0</v>
      </c>
      <c r="H37" s="30">
        <f>SUMIF($B$7:$B$25,"CAA-5",$H$7:$H$25)</f>
        <v>0</v>
      </c>
      <c r="I37" s="30">
        <f>SUMIF($B$7:$B$25,"CAA-5",$I$7:$I$25)</f>
        <v>0</v>
      </c>
      <c r="J37" s="30">
        <f>SUMIF($B$7:$B$25,"CAA-5",$J$7:$J$25)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3" t="s">
        <v>44</v>
      </c>
      <c r="B38" s="25"/>
      <c r="C38" s="35">
        <f>SUM(C27:C37)</f>
        <v>8</v>
      </c>
      <c r="D38" s="35">
        <f>SUM(D27:D37)</f>
        <v>11</v>
      </c>
      <c r="E38" s="35">
        <f>SUM(E27:E37)</f>
        <v>19</v>
      </c>
      <c r="F38" s="25"/>
      <c r="G38" s="36">
        <f t="shared" ref="G38:J38" si="2">SUM(G27:G37)</f>
        <v>18000</v>
      </c>
      <c r="H38" s="36">
        <f t="shared" si="2"/>
        <v>27550.799999999999</v>
      </c>
      <c r="I38" s="36">
        <f t="shared" si="2"/>
        <v>32597.660000000003</v>
      </c>
      <c r="J38" s="36">
        <f t="shared" si="2"/>
        <v>78148.459999999992</v>
      </c>
      <c r="K38" s="37"/>
      <c r="L38" s="37"/>
      <c r="M38" s="37"/>
      <c r="N38" s="37"/>
      <c r="O38" s="37"/>
      <c r="P38" s="37"/>
      <c r="Q38" s="37"/>
    </row>
    <row r="39" spans="1:30" ht="45.75" customHeight="1" x14ac:dyDescent="0.2">
      <c r="A39" s="37"/>
      <c r="B39" s="37"/>
      <c r="C39" s="37"/>
      <c r="D39" s="37"/>
      <c r="E39" s="37"/>
      <c r="F39" s="37"/>
      <c r="G39" s="37"/>
      <c r="H39" s="21"/>
      <c r="I39" s="21"/>
      <c r="J39" s="38"/>
      <c r="K39" s="37"/>
      <c r="L39" s="37"/>
      <c r="M39" s="37"/>
      <c r="N39" s="37"/>
      <c r="O39" s="37"/>
      <c r="P39" s="37"/>
      <c r="Q39" s="37"/>
    </row>
    <row r="40" spans="1:30" x14ac:dyDescent="0.2">
      <c r="A40" s="99" t="s">
        <v>45</v>
      </c>
      <c r="B40" s="93"/>
      <c r="C40" s="93"/>
      <c r="D40" s="93"/>
      <c r="E40" s="93"/>
      <c r="F40" s="93"/>
      <c r="G40" s="93"/>
      <c r="H40" s="93"/>
      <c r="I40" s="94"/>
      <c r="J40" s="37"/>
      <c r="K40" s="7"/>
      <c r="L40" s="37"/>
      <c r="M40" s="37"/>
      <c r="N40" s="37"/>
      <c r="O40" s="37"/>
      <c r="P40" s="37"/>
      <c r="Q40" s="37"/>
    </row>
    <row r="41" spans="1:30" ht="30" x14ac:dyDescent="0.2">
      <c r="A41" s="10" t="s">
        <v>46</v>
      </c>
      <c r="B41" s="10" t="s">
        <v>47</v>
      </c>
      <c r="C41" s="10" t="s">
        <v>48</v>
      </c>
      <c r="D41" s="10" t="s">
        <v>49</v>
      </c>
      <c r="E41" s="10" t="s">
        <v>50</v>
      </c>
      <c r="F41" s="10" t="s">
        <v>51</v>
      </c>
      <c r="G41" s="10" t="s">
        <v>52</v>
      </c>
      <c r="H41" s="10" t="s">
        <v>53</v>
      </c>
      <c r="I41" s="10" t="s">
        <v>54</v>
      </c>
      <c r="J41" s="62"/>
      <c r="K41" s="7"/>
      <c r="L41" s="62"/>
      <c r="M41" s="62"/>
      <c r="N41" s="62"/>
      <c r="O41" s="62"/>
      <c r="P41" s="62"/>
      <c r="Q41" s="62"/>
      <c r="R41" s="40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2">
      <c r="A42" s="47" t="s">
        <v>221</v>
      </c>
      <c r="B42" s="42" t="s">
        <v>68</v>
      </c>
      <c r="C42" s="57" t="s">
        <v>178</v>
      </c>
      <c r="D42" s="57" t="s">
        <v>181</v>
      </c>
      <c r="E42" s="46">
        <v>1</v>
      </c>
      <c r="F42" s="43" t="s">
        <v>300</v>
      </c>
      <c r="G42" s="44">
        <v>0</v>
      </c>
      <c r="H42" s="44">
        <v>5241.1099999999997</v>
      </c>
      <c r="I42" s="45">
        <f t="shared" ref="I42:I83" si="3">SUM(G42:H42)</f>
        <v>5241.1099999999997</v>
      </c>
      <c r="J42" s="37"/>
      <c r="K42" s="21"/>
      <c r="L42" s="21"/>
      <c r="M42" s="21"/>
      <c r="N42" s="21"/>
      <c r="O42" s="21"/>
      <c r="P42" s="21"/>
      <c r="Q42" s="21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">
      <c r="A43" s="47" t="s">
        <v>180</v>
      </c>
      <c r="B43" s="42" t="s">
        <v>66</v>
      </c>
      <c r="C43" s="57" t="s">
        <v>178</v>
      </c>
      <c r="D43" s="57" t="s">
        <v>181</v>
      </c>
      <c r="E43" s="46">
        <v>1</v>
      </c>
      <c r="F43" s="47" t="s">
        <v>212</v>
      </c>
      <c r="G43" s="44">
        <v>0</v>
      </c>
      <c r="H43" s="44">
        <v>5703.56</v>
      </c>
      <c r="I43" s="45">
        <f t="shared" si="3"/>
        <v>5703.56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72" t="s">
        <v>222</v>
      </c>
      <c r="B44" s="42" t="s">
        <v>68</v>
      </c>
      <c r="C44" s="57" t="s">
        <v>223</v>
      </c>
      <c r="D44" s="57" t="s">
        <v>199</v>
      </c>
      <c r="E44" s="46">
        <v>1</v>
      </c>
      <c r="F44" s="43" t="s">
        <v>301</v>
      </c>
      <c r="G44" s="44">
        <v>16704.73</v>
      </c>
      <c r="H44" s="44">
        <v>5241.1099999999997</v>
      </c>
      <c r="I44" s="45">
        <f t="shared" si="3"/>
        <v>21945.84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47" t="s">
        <v>224</v>
      </c>
      <c r="B45" s="42" t="s">
        <v>72</v>
      </c>
      <c r="C45" s="57" t="s">
        <v>225</v>
      </c>
      <c r="D45" s="57" t="s">
        <v>181</v>
      </c>
      <c r="E45" s="46">
        <v>1</v>
      </c>
      <c r="F45" s="47" t="s">
        <v>302</v>
      </c>
      <c r="G45" s="44">
        <v>0</v>
      </c>
      <c r="H45" s="44">
        <v>3083.01</v>
      </c>
      <c r="I45" s="45">
        <f t="shared" si="3"/>
        <v>3083.01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226</v>
      </c>
      <c r="B46" s="42" t="s">
        <v>66</v>
      </c>
      <c r="C46" s="57" t="s">
        <v>227</v>
      </c>
      <c r="D46" s="57" t="s">
        <v>181</v>
      </c>
      <c r="E46" s="46">
        <v>1</v>
      </c>
      <c r="F46" s="47" t="s">
        <v>303</v>
      </c>
      <c r="G46" s="44">
        <v>0</v>
      </c>
      <c r="H46" s="44">
        <v>5703.56</v>
      </c>
      <c r="I46" s="45">
        <f t="shared" si="3"/>
        <v>5703.56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228</v>
      </c>
      <c r="B47" s="42" t="s">
        <v>72</v>
      </c>
      <c r="C47" s="57" t="s">
        <v>229</v>
      </c>
      <c r="D47" s="57" t="s">
        <v>181</v>
      </c>
      <c r="E47" s="46">
        <v>1</v>
      </c>
      <c r="F47" s="47" t="s">
        <v>304</v>
      </c>
      <c r="G47" s="44">
        <v>0</v>
      </c>
      <c r="H47" s="44">
        <v>3083.01</v>
      </c>
      <c r="I47" s="45">
        <f t="shared" si="3"/>
        <v>3083.01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230</v>
      </c>
      <c r="B48" s="42" t="s">
        <v>68</v>
      </c>
      <c r="C48" s="57" t="s">
        <v>231</v>
      </c>
      <c r="D48" s="57" t="s">
        <v>199</v>
      </c>
      <c r="E48" s="46">
        <v>1</v>
      </c>
      <c r="F48" s="47" t="s">
        <v>305</v>
      </c>
      <c r="G48" s="44">
        <v>16704.73</v>
      </c>
      <c r="H48" s="44">
        <v>5241.1099999999997</v>
      </c>
      <c r="I48" s="45">
        <f t="shared" si="3"/>
        <v>21945.84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232</v>
      </c>
      <c r="B49" s="42" t="s">
        <v>68</v>
      </c>
      <c r="C49" s="57" t="s">
        <v>233</v>
      </c>
      <c r="D49" s="57" t="s">
        <v>181</v>
      </c>
      <c r="E49" s="46">
        <v>1</v>
      </c>
      <c r="F49" s="47" t="s">
        <v>306</v>
      </c>
      <c r="G49" s="44">
        <v>0</v>
      </c>
      <c r="H49" s="44">
        <v>5241.1099999999997</v>
      </c>
      <c r="I49" s="45">
        <f t="shared" si="3"/>
        <v>5241.1099999999997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234</v>
      </c>
      <c r="B50" s="42" t="s">
        <v>68</v>
      </c>
      <c r="C50" s="57" t="s">
        <v>223</v>
      </c>
      <c r="D50" s="57" t="s">
        <v>183</v>
      </c>
      <c r="E50" s="46">
        <v>1</v>
      </c>
      <c r="F50" s="76" t="s">
        <v>183</v>
      </c>
      <c r="G50" s="44">
        <v>0</v>
      </c>
      <c r="H50" s="44">
        <v>0</v>
      </c>
      <c r="I50" s="45">
        <f t="shared" si="3"/>
        <v>0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235</v>
      </c>
      <c r="B51" s="42" t="s">
        <v>66</v>
      </c>
      <c r="C51" s="57" t="s">
        <v>236</v>
      </c>
      <c r="D51" s="57" t="s">
        <v>181</v>
      </c>
      <c r="E51" s="46">
        <v>1</v>
      </c>
      <c r="F51" s="47" t="s">
        <v>308</v>
      </c>
      <c r="G51" s="44">
        <v>0</v>
      </c>
      <c r="H51" s="44">
        <v>5703.56</v>
      </c>
      <c r="I51" s="45">
        <f t="shared" si="3"/>
        <v>5703.56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237</v>
      </c>
      <c r="B52" s="42" t="s">
        <v>72</v>
      </c>
      <c r="C52" s="57" t="s">
        <v>238</v>
      </c>
      <c r="D52" s="57" t="s">
        <v>181</v>
      </c>
      <c r="E52" s="46">
        <v>1</v>
      </c>
      <c r="F52" s="47" t="s">
        <v>309</v>
      </c>
      <c r="G52" s="44">
        <v>0</v>
      </c>
      <c r="H52" s="44">
        <v>3083.01</v>
      </c>
      <c r="I52" s="45">
        <f t="shared" si="3"/>
        <v>3083.01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239</v>
      </c>
      <c r="B53" s="42" t="s">
        <v>72</v>
      </c>
      <c r="C53" s="57" t="s">
        <v>240</v>
      </c>
      <c r="D53" s="57" t="s">
        <v>181</v>
      </c>
      <c r="E53" s="46">
        <v>1</v>
      </c>
      <c r="F53" s="47" t="s">
        <v>310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241</v>
      </c>
      <c r="B54" s="42" t="s">
        <v>72</v>
      </c>
      <c r="C54" s="57" t="s">
        <v>242</v>
      </c>
      <c r="D54" s="57" t="s">
        <v>181</v>
      </c>
      <c r="E54" s="46">
        <v>1</v>
      </c>
      <c r="F54" s="47" t="s">
        <v>311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243</v>
      </c>
      <c r="B55" s="42" t="s">
        <v>72</v>
      </c>
      <c r="C55" s="57" t="s">
        <v>244</v>
      </c>
      <c r="D55" s="57" t="s">
        <v>181</v>
      </c>
      <c r="E55" s="46">
        <v>1</v>
      </c>
      <c r="F55" s="47" t="s">
        <v>312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245</v>
      </c>
      <c r="B56" s="42" t="s">
        <v>72</v>
      </c>
      <c r="C56" s="57" t="s">
        <v>246</v>
      </c>
      <c r="D56" s="57" t="s">
        <v>181</v>
      </c>
      <c r="E56" s="46">
        <v>1</v>
      </c>
      <c r="F56" s="47" t="s">
        <v>313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247</v>
      </c>
      <c r="B57" s="42" t="s">
        <v>66</v>
      </c>
      <c r="C57" s="57" t="s">
        <v>248</v>
      </c>
      <c r="D57" s="57" t="s">
        <v>181</v>
      </c>
      <c r="E57" s="46">
        <v>1</v>
      </c>
      <c r="F57" s="76" t="s">
        <v>317</v>
      </c>
      <c r="G57" s="44">
        <v>0</v>
      </c>
      <c r="H57" s="44">
        <v>5703.56</v>
      </c>
      <c r="I57" s="45">
        <f t="shared" si="3"/>
        <v>5703.56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249</v>
      </c>
      <c r="B58" s="42" t="s">
        <v>72</v>
      </c>
      <c r="C58" s="57" t="s">
        <v>250</v>
      </c>
      <c r="D58" s="57" t="s">
        <v>181</v>
      </c>
      <c r="E58" s="46">
        <v>1</v>
      </c>
      <c r="F58" s="47" t="s">
        <v>315</v>
      </c>
      <c r="G58" s="44">
        <v>0</v>
      </c>
      <c r="H58" s="44">
        <v>3083.01</v>
      </c>
      <c r="I58" s="45">
        <f t="shared" si="3"/>
        <v>3083.01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251</v>
      </c>
      <c r="B59" s="42" t="s">
        <v>72</v>
      </c>
      <c r="C59" s="57" t="s">
        <v>252</v>
      </c>
      <c r="D59" s="57" t="s">
        <v>199</v>
      </c>
      <c r="E59" s="46">
        <v>1</v>
      </c>
      <c r="F59" s="47" t="s">
        <v>316</v>
      </c>
      <c r="G59" s="44">
        <v>831.26</v>
      </c>
      <c r="H59" s="44">
        <v>3083.01</v>
      </c>
      <c r="I59" s="45">
        <f t="shared" si="3"/>
        <v>3914.2700000000004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253</v>
      </c>
      <c r="B60" s="42" t="s">
        <v>70</v>
      </c>
      <c r="C60" s="57" t="s">
        <v>254</v>
      </c>
      <c r="D60" s="77" t="s">
        <v>181</v>
      </c>
      <c r="E60" s="46">
        <v>1</v>
      </c>
      <c r="F60" s="76" t="s">
        <v>217</v>
      </c>
      <c r="G60" s="44">
        <v>0</v>
      </c>
      <c r="H60" s="44">
        <v>4316.21</v>
      </c>
      <c r="I60" s="45">
        <f t="shared" si="3"/>
        <v>4316.21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255</v>
      </c>
      <c r="B61" s="42" t="s">
        <v>72</v>
      </c>
      <c r="C61" s="57" t="s">
        <v>256</v>
      </c>
      <c r="D61" s="57" t="s">
        <v>181</v>
      </c>
      <c r="E61" s="46">
        <v>1</v>
      </c>
      <c r="F61" s="47" t="s">
        <v>318</v>
      </c>
      <c r="G61" s="44">
        <v>0</v>
      </c>
      <c r="H61" s="44">
        <v>3083.01</v>
      </c>
      <c r="I61" s="45">
        <f t="shared" si="3"/>
        <v>3083.01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257</v>
      </c>
      <c r="B62" s="42" t="s">
        <v>72</v>
      </c>
      <c r="C62" s="57" t="s">
        <v>258</v>
      </c>
      <c r="D62" s="57" t="s">
        <v>181</v>
      </c>
      <c r="E62" s="46">
        <v>1</v>
      </c>
      <c r="F62" s="47" t="s">
        <v>319</v>
      </c>
      <c r="G62" s="44">
        <v>0</v>
      </c>
      <c r="H62" s="44">
        <v>3083.01</v>
      </c>
      <c r="I62" s="45">
        <f t="shared" si="3"/>
        <v>3083.01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259</v>
      </c>
      <c r="B63" s="42" t="s">
        <v>66</v>
      </c>
      <c r="C63" s="57" t="s">
        <v>260</v>
      </c>
      <c r="D63" s="57" t="s">
        <v>181</v>
      </c>
      <c r="E63" s="46">
        <v>1</v>
      </c>
      <c r="F63" s="47" t="s">
        <v>320</v>
      </c>
      <c r="G63" s="44">
        <v>0</v>
      </c>
      <c r="H63" s="44">
        <v>5703.56</v>
      </c>
      <c r="I63" s="45">
        <f t="shared" si="3"/>
        <v>5703.56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261</v>
      </c>
      <c r="B64" s="42" t="s">
        <v>72</v>
      </c>
      <c r="C64" s="57" t="s">
        <v>262</v>
      </c>
      <c r="D64" s="57" t="s">
        <v>181</v>
      </c>
      <c r="E64" s="46">
        <v>1</v>
      </c>
      <c r="F64" s="47" t="s">
        <v>321</v>
      </c>
      <c r="G64" s="44">
        <v>0</v>
      </c>
      <c r="H64" s="44">
        <v>3083.01</v>
      </c>
      <c r="I64" s="45">
        <f t="shared" si="3"/>
        <v>3083.01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263</v>
      </c>
      <c r="B65" s="42" t="s">
        <v>72</v>
      </c>
      <c r="C65" s="57" t="s">
        <v>264</v>
      </c>
      <c r="D65" s="57" t="s">
        <v>181</v>
      </c>
      <c r="E65" s="46">
        <v>1</v>
      </c>
      <c r="F65" s="47" t="s">
        <v>322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265</v>
      </c>
      <c r="B66" s="42" t="s">
        <v>72</v>
      </c>
      <c r="C66" s="57" t="s">
        <v>266</v>
      </c>
      <c r="D66" s="57" t="s">
        <v>181</v>
      </c>
      <c r="E66" s="46">
        <v>1</v>
      </c>
      <c r="F66" s="47" t="s">
        <v>323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267</v>
      </c>
      <c r="B67" s="42" t="s">
        <v>72</v>
      </c>
      <c r="C67" s="57" t="s">
        <v>268</v>
      </c>
      <c r="D67" s="57" t="s">
        <v>181</v>
      </c>
      <c r="E67" s="46">
        <v>1</v>
      </c>
      <c r="F67" s="47" t="s">
        <v>324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269</v>
      </c>
      <c r="B68" s="42" t="s">
        <v>72</v>
      </c>
      <c r="C68" s="57" t="s">
        <v>270</v>
      </c>
      <c r="D68" s="57" t="s">
        <v>181</v>
      </c>
      <c r="E68" s="46">
        <v>1</v>
      </c>
      <c r="F68" s="47" t="s">
        <v>325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271</v>
      </c>
      <c r="B69" s="42" t="s">
        <v>72</v>
      </c>
      <c r="C69" s="57" t="s">
        <v>272</v>
      </c>
      <c r="D69" s="57" t="s">
        <v>181</v>
      </c>
      <c r="E69" s="46">
        <v>1</v>
      </c>
      <c r="F69" s="47" t="s">
        <v>326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273</v>
      </c>
      <c r="B70" s="42" t="s">
        <v>72</v>
      </c>
      <c r="C70" s="57" t="s">
        <v>274</v>
      </c>
      <c r="D70" s="57" t="s">
        <v>181</v>
      </c>
      <c r="E70" s="46">
        <v>1</v>
      </c>
      <c r="F70" s="47" t="s">
        <v>327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275</v>
      </c>
      <c r="B71" s="42" t="s">
        <v>72</v>
      </c>
      <c r="C71" s="57" t="s">
        <v>260</v>
      </c>
      <c r="D71" s="57" t="s">
        <v>181</v>
      </c>
      <c r="E71" s="46">
        <v>1</v>
      </c>
      <c r="F71" s="47" t="s">
        <v>328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276</v>
      </c>
      <c r="B72" s="42" t="s">
        <v>72</v>
      </c>
      <c r="C72" s="57" t="s">
        <v>277</v>
      </c>
      <c r="D72" s="57" t="s">
        <v>181</v>
      </c>
      <c r="E72" s="46">
        <v>1</v>
      </c>
      <c r="F72" s="47" t="s">
        <v>329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278</v>
      </c>
      <c r="B73" s="42" t="s">
        <v>72</v>
      </c>
      <c r="C73" s="57" t="s">
        <v>279</v>
      </c>
      <c r="D73" s="57" t="s">
        <v>181</v>
      </c>
      <c r="E73" s="46">
        <v>1</v>
      </c>
      <c r="F73" s="47" t="s">
        <v>330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280</v>
      </c>
      <c r="B74" s="42" t="s">
        <v>66</v>
      </c>
      <c r="C74" s="57" t="s">
        <v>281</v>
      </c>
      <c r="D74" s="57" t="s">
        <v>181</v>
      </c>
      <c r="E74" s="46">
        <v>1</v>
      </c>
      <c r="F74" s="47" t="s">
        <v>331</v>
      </c>
      <c r="G74" s="44">
        <v>0</v>
      </c>
      <c r="H74" s="44">
        <v>5703.56</v>
      </c>
      <c r="I74" s="45">
        <f t="shared" si="3"/>
        <v>5703.56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282</v>
      </c>
      <c r="B75" s="42" t="s">
        <v>72</v>
      </c>
      <c r="C75" s="57" t="s">
        <v>283</v>
      </c>
      <c r="D75" s="57" t="s">
        <v>181</v>
      </c>
      <c r="E75" s="46">
        <v>1</v>
      </c>
      <c r="F75" s="47" t="s">
        <v>332</v>
      </c>
      <c r="G75" s="44">
        <v>0</v>
      </c>
      <c r="H75" s="44">
        <v>3083.01</v>
      </c>
      <c r="I75" s="45">
        <f t="shared" si="3"/>
        <v>3083.01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284</v>
      </c>
      <c r="B76" s="42" t="s">
        <v>72</v>
      </c>
      <c r="C76" s="57" t="s">
        <v>285</v>
      </c>
      <c r="D76" s="57" t="s">
        <v>181</v>
      </c>
      <c r="E76" s="46">
        <v>1</v>
      </c>
      <c r="F76" s="47" t="s">
        <v>333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286</v>
      </c>
      <c r="B77" s="42" t="s">
        <v>72</v>
      </c>
      <c r="C77" s="57" t="s">
        <v>287</v>
      </c>
      <c r="D77" s="57" t="s">
        <v>181</v>
      </c>
      <c r="E77" s="46">
        <v>1</v>
      </c>
      <c r="F77" s="47" t="s">
        <v>334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288</v>
      </c>
      <c r="B78" s="42" t="s">
        <v>70</v>
      </c>
      <c r="C78" s="57" t="s">
        <v>289</v>
      </c>
      <c r="D78" s="57" t="s">
        <v>181</v>
      </c>
      <c r="E78" s="46">
        <v>1</v>
      </c>
      <c r="F78" s="47" t="s">
        <v>335</v>
      </c>
      <c r="G78" s="44">
        <v>0</v>
      </c>
      <c r="H78" s="44">
        <v>4316.21</v>
      </c>
      <c r="I78" s="45">
        <f t="shared" si="3"/>
        <v>4316.21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290</v>
      </c>
      <c r="B79" s="42" t="s">
        <v>66</v>
      </c>
      <c r="C79" s="57" t="s">
        <v>291</v>
      </c>
      <c r="D79" s="57" t="s">
        <v>181</v>
      </c>
      <c r="E79" s="46">
        <v>1</v>
      </c>
      <c r="F79" s="47" t="s">
        <v>336</v>
      </c>
      <c r="G79" s="44">
        <v>0</v>
      </c>
      <c r="H79" s="44">
        <v>5703.56</v>
      </c>
      <c r="I79" s="45">
        <f t="shared" si="3"/>
        <v>5703.56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292</v>
      </c>
      <c r="B80" s="42" t="s">
        <v>72</v>
      </c>
      <c r="C80" s="57" t="s">
        <v>293</v>
      </c>
      <c r="D80" s="57" t="s">
        <v>199</v>
      </c>
      <c r="E80" s="46">
        <v>1</v>
      </c>
      <c r="F80" s="47" t="s">
        <v>337</v>
      </c>
      <c r="G80" s="44">
        <v>1509.2</v>
      </c>
      <c r="H80" s="44">
        <v>3083.01</v>
      </c>
      <c r="I80" s="45">
        <f t="shared" si="3"/>
        <v>4592.21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294</v>
      </c>
      <c r="B81" s="42" t="s">
        <v>72</v>
      </c>
      <c r="C81" s="57" t="s">
        <v>295</v>
      </c>
      <c r="D81" s="57" t="s">
        <v>183</v>
      </c>
      <c r="E81" s="46">
        <v>1</v>
      </c>
      <c r="F81" s="47" t="s">
        <v>183</v>
      </c>
      <c r="G81" s="44">
        <v>0</v>
      </c>
      <c r="H81" s="44">
        <v>0</v>
      </c>
      <c r="I81" s="45">
        <f t="shared" si="3"/>
        <v>0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296</v>
      </c>
      <c r="B82" s="42" t="s">
        <v>72</v>
      </c>
      <c r="C82" s="57" t="s">
        <v>297</v>
      </c>
      <c r="D82" s="57" t="s">
        <v>199</v>
      </c>
      <c r="E82" s="46">
        <v>1</v>
      </c>
      <c r="F82" s="47" t="s">
        <v>338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298</v>
      </c>
      <c r="B83" s="42" t="s">
        <v>68</v>
      </c>
      <c r="C83" s="57" t="s">
        <v>299</v>
      </c>
      <c r="D83" s="57" t="s">
        <v>181</v>
      </c>
      <c r="E83" s="46">
        <v>1</v>
      </c>
      <c r="F83" s="47" t="s">
        <v>339</v>
      </c>
      <c r="G83" s="44">
        <v>0</v>
      </c>
      <c r="H83" s="44">
        <v>5241.1099999999997</v>
      </c>
      <c r="I83" s="45">
        <f t="shared" si="3"/>
        <v>5241.1099999999997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45" x14ac:dyDescent="0.2">
      <c r="A84" s="63" t="s">
        <v>55</v>
      </c>
      <c r="B84" s="63" t="s">
        <v>56</v>
      </c>
      <c r="C84" s="35" t="s">
        <v>57</v>
      </c>
      <c r="D84" s="35" t="s">
        <v>58</v>
      </c>
      <c r="E84" s="35" t="s">
        <v>59</v>
      </c>
      <c r="F84" s="48"/>
      <c r="G84" s="35" t="s">
        <v>60</v>
      </c>
      <c r="H84" s="35" t="s">
        <v>61</v>
      </c>
      <c r="I84" s="35" t="s">
        <v>62</v>
      </c>
      <c r="J84" s="37"/>
      <c r="K84" s="7"/>
      <c r="L84" s="7"/>
      <c r="M84" s="7"/>
      <c r="N84" s="7"/>
      <c r="O84" s="7"/>
      <c r="P84" s="7"/>
      <c r="Q84" s="7"/>
      <c r="R84" s="4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1:30" x14ac:dyDescent="0.2">
      <c r="A85" s="58" t="s">
        <v>63</v>
      </c>
      <c r="B85" s="59" t="s">
        <v>64</v>
      </c>
      <c r="C85" s="28">
        <f>SUMIFS($E$42:$E$83,$B$42:$B$83,"FDA",$D$42:$D$83,"&lt;&gt;VAGO")</f>
        <v>0</v>
      </c>
      <c r="D85" s="28">
        <f>SUMIFS($E$42:$E$83,$B$42:$B$83,"FDA",$D$42:$D$83,"VAGO")</f>
        <v>0</v>
      </c>
      <c r="E85" s="28">
        <f t="shared" ref="E85:E89" si="4">C85+D85</f>
        <v>0</v>
      </c>
      <c r="F85" s="29"/>
      <c r="G85" s="45">
        <f>SUMIF($B$42:$B$83,"FDA",$G$42:$G$83)</f>
        <v>0</v>
      </c>
      <c r="H85" s="45">
        <f>SUMIF($B$42:$B$83,"FDA",$H$42:$H$83)</f>
        <v>0</v>
      </c>
      <c r="I85" s="45">
        <f>SUMIF($B$42:$B$83,"FDA",$I$42:$I$83)</f>
        <v>0</v>
      </c>
      <c r="J85" s="21"/>
      <c r="K85" s="7"/>
      <c r="L85" s="21"/>
      <c r="M85" s="21"/>
      <c r="N85" s="21"/>
      <c r="O85" s="21"/>
      <c r="P85" s="21"/>
      <c r="Q85" s="21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x14ac:dyDescent="0.2">
      <c r="A86" s="58" t="s">
        <v>65</v>
      </c>
      <c r="B86" s="59" t="s">
        <v>66</v>
      </c>
      <c r="C86" s="28">
        <f>SUMIFS($E$42:$E$83,$B$42:$B$83,"FDA-1",$D$42:$D$83,"&lt;&gt;VAGO")</f>
        <v>7</v>
      </c>
      <c r="D86" s="28">
        <f>SUMIFS($E$42:$E$83,$B$42:$B$83,"FDA-1",$D$42:$D$83,"VAGO")</f>
        <v>0</v>
      </c>
      <c r="E86" s="28">
        <f t="shared" si="4"/>
        <v>7</v>
      </c>
      <c r="F86" s="29"/>
      <c r="G86" s="45">
        <f>SUMIF($B$42:$B$83,"FDA-1",$G$42:$G$83)</f>
        <v>0</v>
      </c>
      <c r="H86" s="45">
        <f>SUMIF($B$42:$B$83,"FDA-1",$H$42:$H$83)</f>
        <v>39924.92</v>
      </c>
      <c r="I86" s="45">
        <f>SUMIF($B$42:$B$83,"FDA-1",$I$42:$I$83)</f>
        <v>39924.92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67</v>
      </c>
      <c r="B87" s="59" t="s">
        <v>68</v>
      </c>
      <c r="C87" s="28">
        <f>SUMIFS($E$42:$E$83,$B$42:$B$83,"FDA-2",$D$42:$D$83,"&lt;&gt;VAGO")</f>
        <v>5</v>
      </c>
      <c r="D87" s="28">
        <f>SUMIFS($E$42:$E$83,$B$42:$B$83,"FDA-2",$D$42:$D$83,"VAGO")</f>
        <v>1</v>
      </c>
      <c r="E87" s="28">
        <f t="shared" si="4"/>
        <v>6</v>
      </c>
      <c r="F87" s="32"/>
      <c r="G87" s="45">
        <f>SUMIF($B$42:$B$83,"FDA-2",$G$42:$G$83)</f>
        <v>33409.46</v>
      </c>
      <c r="H87" s="45">
        <f>SUMIF($B$42:$B$83,"FDA-2",$H$42:$H$83)</f>
        <v>26205.55</v>
      </c>
      <c r="I87" s="45">
        <f>SUMIF($B$42:$B$83,"FDA-2",$I$42:$I$83)</f>
        <v>59615.01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69</v>
      </c>
      <c r="B88" s="59" t="s">
        <v>70</v>
      </c>
      <c r="C88" s="28">
        <f>SUMIFS($E$42:$E$83,$B$42:$B$83,"FDA-3",$D$42:$D$83,"&lt;&gt;VAGO")</f>
        <v>2</v>
      </c>
      <c r="D88" s="28">
        <f>SUMIFS($E$42:$E$83,$B$42:$B$83,"FDA-3",$D$42:$D$83,"VAGO")</f>
        <v>0</v>
      </c>
      <c r="E88" s="28">
        <f t="shared" si="4"/>
        <v>2</v>
      </c>
      <c r="F88" s="34"/>
      <c r="G88" s="45">
        <f>SUMIF($B$42:$B$83,"FDA-3",$G$42:$G$83)</f>
        <v>0</v>
      </c>
      <c r="H88" s="45">
        <f>SUMIF($B$42:$B$83,"FDA-3",$H$42:$H$83)</f>
        <v>8632.42</v>
      </c>
      <c r="I88" s="45">
        <f>SUMIF($B$42:$B$83,"FDA-3",$I$42:$I$83)</f>
        <v>8632.42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71</v>
      </c>
      <c r="B89" s="59" t="s">
        <v>72</v>
      </c>
      <c r="C89" s="28">
        <f>SUMIFS($E$42:$E$83,$B$42:$B$83,"FDA-4",$D$42:$D$83,"&lt;&gt;VAGO")</f>
        <v>26</v>
      </c>
      <c r="D89" s="28">
        <f>SUMIFS($E$42:$E$83,$B$42:$B$83,"FDA-4",$D$42:$D$83,"VAGO")</f>
        <v>1</v>
      </c>
      <c r="E89" s="28">
        <f t="shared" si="4"/>
        <v>27</v>
      </c>
      <c r="F89" s="32"/>
      <c r="G89" s="45">
        <f>SUMIF($B$42:$B$83,"FDA-4",$G$42:$G$83)</f>
        <v>3849.66</v>
      </c>
      <c r="H89" s="45">
        <f>SUMIF($B$42:$B$83,"FDA-4",$H$42:$H$83)</f>
        <v>80158.260000000009</v>
      </c>
      <c r="I89" s="45">
        <f>SUMIF($B$42:$B$83,"FDA-4",$I$42:$I$83)</f>
        <v>84007.920000000013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30" x14ac:dyDescent="0.2">
      <c r="A90" s="63" t="s">
        <v>73</v>
      </c>
      <c r="B90" s="48"/>
      <c r="C90" s="35">
        <f t="shared" ref="C90:E90" si="5">SUM(C86:C89)</f>
        <v>40</v>
      </c>
      <c r="D90" s="35">
        <f t="shared" si="5"/>
        <v>2</v>
      </c>
      <c r="E90" s="35">
        <f t="shared" si="5"/>
        <v>42</v>
      </c>
      <c r="F90" s="48"/>
      <c r="G90" s="51">
        <f t="shared" ref="G90:I90" si="6">SUM(G85:G89)</f>
        <v>37259.119999999995</v>
      </c>
      <c r="H90" s="51">
        <f t="shared" si="6"/>
        <v>154921.15000000002</v>
      </c>
      <c r="I90" s="51">
        <f t="shared" si="6"/>
        <v>192180.27000000002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45" customHeight="1" x14ac:dyDescent="0.2">
      <c r="A91" s="38"/>
      <c r="B91" s="38"/>
      <c r="C91" s="38"/>
      <c r="D91" s="38"/>
      <c r="E91" s="38"/>
      <c r="F91" s="38"/>
      <c r="G91" s="38"/>
      <c r="H91" s="38"/>
      <c r="I91" s="7"/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x14ac:dyDescent="0.2">
      <c r="A92" s="99" t="s">
        <v>74</v>
      </c>
      <c r="B92" s="93"/>
      <c r="C92" s="93"/>
      <c r="D92" s="93"/>
      <c r="E92" s="93"/>
      <c r="F92" s="93"/>
      <c r="G92" s="93"/>
      <c r="H92" s="93"/>
      <c r="I92" s="94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30" x14ac:dyDescent="0.2">
      <c r="A93" s="52" t="s">
        <v>75</v>
      </c>
      <c r="B93" s="10" t="s">
        <v>76</v>
      </c>
      <c r="C93" s="10" t="s">
        <v>77</v>
      </c>
      <c r="D93" s="10" t="s">
        <v>78</v>
      </c>
      <c r="E93" s="10" t="s">
        <v>79</v>
      </c>
      <c r="F93" s="10" t="s">
        <v>80</v>
      </c>
      <c r="G93" s="10" t="s">
        <v>81</v>
      </c>
      <c r="H93" s="10" t="s">
        <v>82</v>
      </c>
      <c r="I93" s="10" t="s">
        <v>83</v>
      </c>
      <c r="J93" s="7"/>
      <c r="K93" s="7"/>
      <c r="L93" s="7"/>
      <c r="M93" s="7"/>
      <c r="N93" s="7"/>
      <c r="O93" s="7"/>
      <c r="P93" s="7"/>
      <c r="Q93" s="7"/>
      <c r="R93" s="40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x14ac:dyDescent="0.2">
      <c r="A94" s="56" t="s">
        <v>340</v>
      </c>
      <c r="B94" s="55" t="s">
        <v>93</v>
      </c>
      <c r="C94" s="55" t="s">
        <v>178</v>
      </c>
      <c r="D94" s="57" t="s">
        <v>181</v>
      </c>
      <c r="E94" s="46">
        <v>1</v>
      </c>
      <c r="F94" s="56" t="s">
        <v>374</v>
      </c>
      <c r="G94" s="44">
        <v>0</v>
      </c>
      <c r="H94" s="44">
        <v>1392.8</v>
      </c>
      <c r="I94" s="45">
        <f t="shared" ref="I94:I197" si="7">SUM(G94:H94)</f>
        <v>1392.8</v>
      </c>
      <c r="J94" s="21"/>
      <c r="K94" s="21"/>
      <c r="L94" s="21"/>
      <c r="M94" s="21"/>
      <c r="N94" s="21"/>
      <c r="O94" s="21"/>
      <c r="P94" s="21"/>
      <c r="Q94" s="21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x14ac:dyDescent="0.2">
      <c r="A95" s="47" t="s">
        <v>341</v>
      </c>
      <c r="B95" s="55" t="s">
        <v>342</v>
      </c>
      <c r="C95" s="57" t="s">
        <v>178</v>
      </c>
      <c r="D95" s="57" t="s">
        <v>199</v>
      </c>
      <c r="E95" s="46">
        <v>1</v>
      </c>
      <c r="F95" s="47" t="s">
        <v>375</v>
      </c>
      <c r="G95" s="44">
        <v>831.13</v>
      </c>
      <c r="H95" s="44">
        <v>849.76</v>
      </c>
      <c r="I95" s="45">
        <f t="shared" si="7"/>
        <v>1680.8899999999999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343</v>
      </c>
      <c r="B96" s="55" t="s">
        <v>101</v>
      </c>
      <c r="C96" s="57" t="s">
        <v>178</v>
      </c>
      <c r="D96" s="57" t="s">
        <v>199</v>
      </c>
      <c r="E96" s="46">
        <v>1</v>
      </c>
      <c r="F96" s="43" t="s">
        <v>376</v>
      </c>
      <c r="G96" s="44">
        <v>831.26</v>
      </c>
      <c r="H96" s="44">
        <v>465.35</v>
      </c>
      <c r="I96" s="45">
        <f t="shared" si="7"/>
        <v>1296.6100000000001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340</v>
      </c>
      <c r="B97" s="55" t="s">
        <v>93</v>
      </c>
      <c r="C97" s="57" t="s">
        <v>223</v>
      </c>
      <c r="D97" s="57" t="s">
        <v>199</v>
      </c>
      <c r="E97" s="46">
        <v>1</v>
      </c>
      <c r="F97" s="43" t="s">
        <v>377</v>
      </c>
      <c r="G97" s="44">
        <v>844.27</v>
      </c>
      <c r="H97" s="44">
        <v>1392.8</v>
      </c>
      <c r="I97" s="45">
        <f t="shared" si="7"/>
        <v>2237.0699999999997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344</v>
      </c>
      <c r="B98" s="55" t="s">
        <v>345</v>
      </c>
      <c r="C98" s="57" t="s">
        <v>223</v>
      </c>
      <c r="D98" s="57" t="s">
        <v>199</v>
      </c>
      <c r="E98" s="46">
        <v>1</v>
      </c>
      <c r="F98" s="43" t="s">
        <v>378</v>
      </c>
      <c r="G98" s="44">
        <v>831.26</v>
      </c>
      <c r="H98" s="44">
        <v>505.81</v>
      </c>
      <c r="I98" s="45">
        <f t="shared" si="7"/>
        <v>1337.07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340</v>
      </c>
      <c r="B99" s="55" t="s">
        <v>93</v>
      </c>
      <c r="C99" s="57" t="s">
        <v>223</v>
      </c>
      <c r="D99" s="57" t="s">
        <v>181</v>
      </c>
      <c r="E99" s="46">
        <v>1</v>
      </c>
      <c r="F99" s="43" t="s">
        <v>379</v>
      </c>
      <c r="G99" s="44">
        <v>0</v>
      </c>
      <c r="H99" s="44">
        <v>1392.8</v>
      </c>
      <c r="I99" s="45">
        <f t="shared" si="7"/>
        <v>1392.8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380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346</v>
      </c>
      <c r="B101" s="55" t="s">
        <v>97</v>
      </c>
      <c r="C101" s="57" t="s">
        <v>347</v>
      </c>
      <c r="D101" s="57" t="s">
        <v>181</v>
      </c>
      <c r="E101" s="46">
        <v>1</v>
      </c>
      <c r="F101" s="43" t="s">
        <v>381</v>
      </c>
      <c r="G101" s="44">
        <v>0</v>
      </c>
      <c r="H101" s="44">
        <v>566.5</v>
      </c>
      <c r="I101" s="45">
        <f t="shared" si="7"/>
        <v>566.5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382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348</v>
      </c>
      <c r="D103" s="57" t="s">
        <v>181</v>
      </c>
      <c r="E103" s="46">
        <v>1</v>
      </c>
      <c r="F103" s="43" t="s">
        <v>383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340</v>
      </c>
      <c r="B104" s="55" t="s">
        <v>93</v>
      </c>
      <c r="C104" s="57" t="s">
        <v>347</v>
      </c>
      <c r="D104" s="57" t="s">
        <v>181</v>
      </c>
      <c r="E104" s="46">
        <v>1</v>
      </c>
      <c r="F104" s="43" t="s">
        <v>384</v>
      </c>
      <c r="G104" s="44">
        <v>0</v>
      </c>
      <c r="H104" s="44">
        <v>1392.8</v>
      </c>
      <c r="I104" s="45">
        <f t="shared" si="7"/>
        <v>1392.8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349</v>
      </c>
      <c r="D105" s="57" t="s">
        <v>181</v>
      </c>
      <c r="E105" s="46">
        <v>1</v>
      </c>
      <c r="F105" s="43" t="s">
        <v>385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231</v>
      </c>
      <c r="D106" s="57" t="s">
        <v>181</v>
      </c>
      <c r="E106" s="46">
        <v>1</v>
      </c>
      <c r="F106" s="43" t="s">
        <v>386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341</v>
      </c>
      <c r="B107" s="55" t="s">
        <v>342</v>
      </c>
      <c r="C107" s="57" t="s">
        <v>350</v>
      </c>
      <c r="D107" s="57" t="s">
        <v>181</v>
      </c>
      <c r="E107" s="46">
        <v>1</v>
      </c>
      <c r="F107" s="43" t="s">
        <v>387</v>
      </c>
      <c r="G107" s="44">
        <v>0</v>
      </c>
      <c r="H107" s="44">
        <v>849.76</v>
      </c>
      <c r="I107" s="45">
        <f t="shared" si="7"/>
        <v>849.76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340</v>
      </c>
      <c r="B108" s="55" t="s">
        <v>93</v>
      </c>
      <c r="C108" s="57" t="s">
        <v>351</v>
      </c>
      <c r="D108" s="57" t="s">
        <v>181</v>
      </c>
      <c r="E108" s="46">
        <v>1</v>
      </c>
      <c r="F108" s="43" t="s">
        <v>388</v>
      </c>
      <c r="G108" s="44">
        <v>0</v>
      </c>
      <c r="H108" s="44">
        <v>1392.8</v>
      </c>
      <c r="I108" s="45">
        <f t="shared" si="7"/>
        <v>1392.8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346</v>
      </c>
      <c r="B109" s="55" t="s">
        <v>97</v>
      </c>
      <c r="C109" s="57" t="s">
        <v>352</v>
      </c>
      <c r="D109" s="57" t="s">
        <v>199</v>
      </c>
      <c r="E109" s="46">
        <v>1</v>
      </c>
      <c r="F109" s="43" t="s">
        <v>389</v>
      </c>
      <c r="G109" s="44">
        <v>852.4</v>
      </c>
      <c r="H109" s="44">
        <v>566.5</v>
      </c>
      <c r="I109" s="45">
        <f t="shared" si="7"/>
        <v>1418.9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340</v>
      </c>
      <c r="B110" s="55" t="s">
        <v>93</v>
      </c>
      <c r="C110" s="57" t="s">
        <v>353</v>
      </c>
      <c r="D110" s="57" t="s">
        <v>199</v>
      </c>
      <c r="E110" s="46">
        <v>1</v>
      </c>
      <c r="F110" s="43" t="s">
        <v>390</v>
      </c>
      <c r="G110" s="44">
        <v>830.46</v>
      </c>
      <c r="H110" s="44">
        <v>1392.8</v>
      </c>
      <c r="I110" s="45">
        <f t="shared" si="7"/>
        <v>2223.2600000000002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346</v>
      </c>
      <c r="B111" s="55" t="s">
        <v>97</v>
      </c>
      <c r="C111" s="57" t="s">
        <v>353</v>
      </c>
      <c r="D111" s="57" t="s">
        <v>199</v>
      </c>
      <c r="E111" s="46">
        <v>1</v>
      </c>
      <c r="F111" s="43" t="s">
        <v>391</v>
      </c>
      <c r="G111" s="44">
        <v>844.27</v>
      </c>
      <c r="H111" s="44">
        <v>566.5</v>
      </c>
      <c r="I111" s="45">
        <f t="shared" si="7"/>
        <v>1410.77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392</v>
      </c>
      <c r="G112" s="44">
        <v>844.13</v>
      </c>
      <c r="H112" s="44">
        <v>566.5</v>
      </c>
      <c r="I112" s="45">
        <f t="shared" si="7"/>
        <v>1410.63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354</v>
      </c>
      <c r="D113" s="57" t="s">
        <v>181</v>
      </c>
      <c r="E113" s="46">
        <v>1</v>
      </c>
      <c r="F113" s="43" t="s">
        <v>393</v>
      </c>
      <c r="G113" s="44">
        <v>0</v>
      </c>
      <c r="H113" s="44">
        <v>566.5</v>
      </c>
      <c r="I113" s="45">
        <f t="shared" si="7"/>
        <v>566.5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355</v>
      </c>
      <c r="D114" s="57" t="s">
        <v>199</v>
      </c>
      <c r="E114" s="46">
        <v>1</v>
      </c>
      <c r="F114" s="43" t="s">
        <v>477</v>
      </c>
      <c r="G114" s="44">
        <v>845.01</v>
      </c>
      <c r="H114" s="44">
        <v>566.5</v>
      </c>
      <c r="I114" s="45">
        <f t="shared" si="7"/>
        <v>1411.51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394</v>
      </c>
      <c r="G115" s="44">
        <v>837.96</v>
      </c>
      <c r="H115" s="44">
        <v>566.5</v>
      </c>
      <c r="I115" s="45">
        <f t="shared" si="7"/>
        <v>1404.46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395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340</v>
      </c>
      <c r="B117" s="55" t="s">
        <v>93</v>
      </c>
      <c r="C117" s="57" t="s">
        <v>356</v>
      </c>
      <c r="D117" s="57" t="s">
        <v>181</v>
      </c>
      <c r="E117" s="46">
        <v>1</v>
      </c>
      <c r="F117" s="43" t="s">
        <v>396</v>
      </c>
      <c r="G117" s="44">
        <v>0</v>
      </c>
      <c r="H117" s="44">
        <v>1392.8</v>
      </c>
      <c r="I117" s="45">
        <f t="shared" si="7"/>
        <v>1392.8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346</v>
      </c>
      <c r="B118" s="55" t="s">
        <v>97</v>
      </c>
      <c r="C118" s="57" t="s">
        <v>356</v>
      </c>
      <c r="D118" s="57" t="s">
        <v>199</v>
      </c>
      <c r="E118" s="46">
        <v>1</v>
      </c>
      <c r="F118" s="43" t="s">
        <v>397</v>
      </c>
      <c r="G118" s="44">
        <v>844.87</v>
      </c>
      <c r="H118" s="44">
        <v>566.5</v>
      </c>
      <c r="I118" s="45">
        <f t="shared" si="7"/>
        <v>1411.37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344</v>
      </c>
      <c r="B119" s="55" t="s">
        <v>345</v>
      </c>
      <c r="C119" s="57" t="s">
        <v>356</v>
      </c>
      <c r="D119" s="57" t="s">
        <v>199</v>
      </c>
      <c r="E119" s="46">
        <v>1</v>
      </c>
      <c r="F119" s="43" t="s">
        <v>398</v>
      </c>
      <c r="G119" s="44">
        <v>852.4</v>
      </c>
      <c r="H119" s="44">
        <v>505.81</v>
      </c>
      <c r="I119" s="45">
        <f t="shared" si="7"/>
        <v>1358.21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340</v>
      </c>
      <c r="B120" s="55" t="s">
        <v>93</v>
      </c>
      <c r="C120" s="57" t="s">
        <v>357</v>
      </c>
      <c r="D120" s="57" t="s">
        <v>181</v>
      </c>
      <c r="E120" s="46">
        <v>1</v>
      </c>
      <c r="F120" s="43" t="s">
        <v>399</v>
      </c>
      <c r="G120" s="44">
        <v>0</v>
      </c>
      <c r="H120" s="44">
        <v>1392.8</v>
      </c>
      <c r="I120" s="45">
        <f t="shared" si="7"/>
        <v>1392.8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346</v>
      </c>
      <c r="B121" s="55" t="s">
        <v>97</v>
      </c>
      <c r="C121" s="57" t="s">
        <v>357</v>
      </c>
      <c r="D121" s="57" t="s">
        <v>199</v>
      </c>
      <c r="E121" s="46">
        <v>1</v>
      </c>
      <c r="F121" s="43" t="s">
        <v>400</v>
      </c>
      <c r="G121" s="44">
        <v>16704.73</v>
      </c>
      <c r="H121" s="44">
        <v>566.5</v>
      </c>
      <c r="I121" s="45">
        <f t="shared" si="7"/>
        <v>17271.23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401</v>
      </c>
      <c r="G122" s="44">
        <v>837.96</v>
      </c>
      <c r="H122" s="44">
        <v>566.5</v>
      </c>
      <c r="I122" s="45">
        <f t="shared" si="7"/>
        <v>1404.46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358</v>
      </c>
      <c r="D123" s="57" t="s">
        <v>199</v>
      </c>
      <c r="E123" s="46">
        <v>1</v>
      </c>
      <c r="F123" s="43" t="s">
        <v>402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181</v>
      </c>
      <c r="E124" s="46">
        <v>1</v>
      </c>
      <c r="F124" s="43" t="s">
        <v>403</v>
      </c>
      <c r="G124" s="44">
        <v>0</v>
      </c>
      <c r="H124" s="44">
        <v>566.5</v>
      </c>
      <c r="I124" s="45">
        <f t="shared" si="7"/>
        <v>566.5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340</v>
      </c>
      <c r="B125" s="55" t="s">
        <v>93</v>
      </c>
      <c r="C125" s="57" t="s">
        <v>359</v>
      </c>
      <c r="D125" s="57" t="s">
        <v>199</v>
      </c>
      <c r="E125" s="46">
        <v>1</v>
      </c>
      <c r="F125" s="43" t="s">
        <v>404</v>
      </c>
      <c r="G125" s="44">
        <v>831.26</v>
      </c>
      <c r="H125" s="44">
        <v>1392.8</v>
      </c>
      <c r="I125" s="45">
        <f t="shared" si="7"/>
        <v>2224.06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405</v>
      </c>
      <c r="G126" s="44">
        <v>1006.04</v>
      </c>
      <c r="H126" s="44">
        <v>1392.8</v>
      </c>
      <c r="I126" s="45">
        <f t="shared" si="7"/>
        <v>2398.84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360</v>
      </c>
      <c r="D127" s="57" t="s">
        <v>199</v>
      </c>
      <c r="E127" s="46">
        <v>1</v>
      </c>
      <c r="F127" s="43" t="s">
        <v>406</v>
      </c>
      <c r="G127" s="44">
        <v>837.96</v>
      </c>
      <c r="H127" s="44">
        <v>1392.8</v>
      </c>
      <c r="I127" s="45">
        <f t="shared" si="7"/>
        <v>2230.7600000000002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346</v>
      </c>
      <c r="B128" s="55" t="s">
        <v>97</v>
      </c>
      <c r="C128" s="57" t="s">
        <v>361</v>
      </c>
      <c r="D128" s="57" t="s">
        <v>181</v>
      </c>
      <c r="E128" s="46">
        <v>1</v>
      </c>
      <c r="F128" s="43" t="s">
        <v>407</v>
      </c>
      <c r="G128" s="44">
        <v>0</v>
      </c>
      <c r="H128" s="44">
        <v>566.5</v>
      </c>
      <c r="I128" s="45">
        <f t="shared" si="7"/>
        <v>566.5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408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340</v>
      </c>
      <c r="B130" s="55" t="s">
        <v>93</v>
      </c>
      <c r="C130" s="57" t="s">
        <v>362</v>
      </c>
      <c r="D130" s="57" t="s">
        <v>181</v>
      </c>
      <c r="E130" s="46">
        <v>1</v>
      </c>
      <c r="F130" s="43" t="s">
        <v>409</v>
      </c>
      <c r="G130" s="44">
        <v>0</v>
      </c>
      <c r="H130" s="44">
        <v>1392.8</v>
      </c>
      <c r="I130" s="45">
        <f t="shared" si="7"/>
        <v>1392.8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248</v>
      </c>
      <c r="D131" s="57" t="s">
        <v>181</v>
      </c>
      <c r="E131" s="46">
        <v>1</v>
      </c>
      <c r="F131" s="43" t="s">
        <v>410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411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346</v>
      </c>
      <c r="B133" s="55" t="s">
        <v>97</v>
      </c>
      <c r="C133" s="57" t="s">
        <v>248</v>
      </c>
      <c r="D133" s="57" t="s">
        <v>199</v>
      </c>
      <c r="E133" s="46">
        <v>1</v>
      </c>
      <c r="F133" s="43" t="s">
        <v>490</v>
      </c>
      <c r="G133" s="44">
        <v>1509.2</v>
      </c>
      <c r="H133" s="44">
        <v>1392.8</v>
      </c>
      <c r="I133" s="45">
        <f t="shared" si="7"/>
        <v>2902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340</v>
      </c>
      <c r="B134" s="55" t="s">
        <v>93</v>
      </c>
      <c r="C134" s="57" t="s">
        <v>248</v>
      </c>
      <c r="D134" s="57" t="s">
        <v>199</v>
      </c>
      <c r="E134" s="46">
        <v>1</v>
      </c>
      <c r="F134" s="43" t="s">
        <v>413</v>
      </c>
      <c r="G134" s="44">
        <v>837.83</v>
      </c>
      <c r="H134" s="44">
        <v>1392.8</v>
      </c>
      <c r="I134" s="45">
        <f t="shared" si="7"/>
        <v>2230.63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194</v>
      </c>
      <c r="D135" s="57" t="s">
        <v>199</v>
      </c>
      <c r="E135" s="46">
        <v>1</v>
      </c>
      <c r="F135" s="43" t="s">
        <v>414</v>
      </c>
      <c r="G135" s="44">
        <v>809.06</v>
      </c>
      <c r="H135" s="44">
        <v>1392.8</v>
      </c>
      <c r="I135" s="45">
        <f t="shared" si="7"/>
        <v>2201.8599999999997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181</v>
      </c>
      <c r="E136" s="46">
        <v>1</v>
      </c>
      <c r="F136" s="79" t="s">
        <v>494</v>
      </c>
      <c r="G136" s="44">
        <v>1509.2</v>
      </c>
      <c r="H136" s="44">
        <v>1392.8</v>
      </c>
      <c r="I136" s="45">
        <f t="shared" si="7"/>
        <v>2902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79" t="s">
        <v>495</v>
      </c>
      <c r="G137" s="44">
        <v>1509.2</v>
      </c>
      <c r="H137" s="44">
        <v>1392.8</v>
      </c>
      <c r="I137" s="45">
        <f t="shared" si="7"/>
        <v>2902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199</v>
      </c>
      <c r="E138" s="46">
        <v>1</v>
      </c>
      <c r="F138" s="43" t="s">
        <v>417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418</v>
      </c>
      <c r="G139" s="44">
        <v>809.06</v>
      </c>
      <c r="H139" s="44">
        <v>1392.8</v>
      </c>
      <c r="I139" s="45">
        <f t="shared" si="7"/>
        <v>2201.8599999999997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341</v>
      </c>
      <c r="B140" s="55" t="s">
        <v>342</v>
      </c>
      <c r="C140" s="57" t="s">
        <v>194</v>
      </c>
      <c r="D140" s="57" t="s">
        <v>199</v>
      </c>
      <c r="E140" s="46">
        <v>1</v>
      </c>
      <c r="F140" s="43" t="s">
        <v>419</v>
      </c>
      <c r="G140" s="44">
        <v>852.4</v>
      </c>
      <c r="H140" s="44">
        <v>849.76</v>
      </c>
      <c r="I140" s="45">
        <f t="shared" si="7"/>
        <v>1702.1599999999999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478</v>
      </c>
      <c r="G141" s="44">
        <v>1509.2</v>
      </c>
      <c r="H141" s="44">
        <v>849.76</v>
      </c>
      <c r="I141" s="45">
        <f t="shared" si="7"/>
        <v>2358.96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421</v>
      </c>
      <c r="G142" s="44">
        <v>809.06</v>
      </c>
      <c r="H142" s="44">
        <v>849.76</v>
      </c>
      <c r="I142" s="45">
        <f t="shared" si="7"/>
        <v>1658.82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422</v>
      </c>
      <c r="G143" s="44">
        <v>837.26</v>
      </c>
      <c r="H143" s="44">
        <v>849.76</v>
      </c>
      <c r="I143" s="45">
        <f t="shared" si="7"/>
        <v>1687.02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346</v>
      </c>
      <c r="B144" s="55" t="s">
        <v>97</v>
      </c>
      <c r="C144" s="57" t="s">
        <v>194</v>
      </c>
      <c r="D144" s="57" t="s">
        <v>199</v>
      </c>
      <c r="E144" s="46">
        <v>1</v>
      </c>
      <c r="F144" s="43" t="s">
        <v>423</v>
      </c>
      <c r="G144" s="44">
        <v>824.75</v>
      </c>
      <c r="H144" s="44">
        <v>566.5</v>
      </c>
      <c r="I144" s="45">
        <f t="shared" si="7"/>
        <v>1391.25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424</v>
      </c>
      <c r="G145" s="44">
        <v>831.26</v>
      </c>
      <c r="H145" s="44">
        <v>566.5</v>
      </c>
      <c r="I145" s="45">
        <f t="shared" si="7"/>
        <v>1397.76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363</v>
      </c>
      <c r="B146" s="55" t="s">
        <v>342</v>
      </c>
      <c r="C146" s="57" t="s">
        <v>194</v>
      </c>
      <c r="D146" s="57" t="s">
        <v>199</v>
      </c>
      <c r="E146" s="46">
        <v>1</v>
      </c>
      <c r="F146" s="43" t="s">
        <v>425</v>
      </c>
      <c r="G146" s="44">
        <v>1509.2</v>
      </c>
      <c r="H146" s="44">
        <v>849.76</v>
      </c>
      <c r="I146" s="45">
        <f t="shared" si="7"/>
        <v>2358.96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340</v>
      </c>
      <c r="B147" s="55" t="s">
        <v>93</v>
      </c>
      <c r="C147" s="57" t="s">
        <v>254</v>
      </c>
      <c r="D147" s="57" t="s">
        <v>181</v>
      </c>
      <c r="E147" s="46">
        <v>1</v>
      </c>
      <c r="F147" s="43" t="s">
        <v>426</v>
      </c>
      <c r="G147" s="44">
        <v>0</v>
      </c>
      <c r="H147" s="44">
        <v>1392.8</v>
      </c>
      <c r="I147" s="45">
        <f t="shared" si="7"/>
        <v>1392.8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57" t="s">
        <v>181</v>
      </c>
      <c r="E148" s="46">
        <v>1</v>
      </c>
      <c r="F148" s="43" t="s">
        <v>427</v>
      </c>
      <c r="G148" s="44">
        <v>0</v>
      </c>
      <c r="H148" s="44">
        <v>1392.8</v>
      </c>
      <c r="I148" s="45">
        <f t="shared" si="7"/>
        <v>1392.8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364</v>
      </c>
      <c r="D149" s="57" t="s">
        <v>181</v>
      </c>
      <c r="E149" s="46">
        <v>1</v>
      </c>
      <c r="F149" s="43" t="s">
        <v>428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199</v>
      </c>
      <c r="E150" s="46">
        <v>1</v>
      </c>
      <c r="F150" s="43" t="s">
        <v>429</v>
      </c>
      <c r="G150" s="44">
        <v>809.06</v>
      </c>
      <c r="H150" s="44">
        <v>1392.8</v>
      </c>
      <c r="I150" s="45">
        <f t="shared" si="7"/>
        <v>2201.8599999999997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346</v>
      </c>
      <c r="B151" s="55" t="s">
        <v>97</v>
      </c>
      <c r="C151" s="57" t="s">
        <v>364</v>
      </c>
      <c r="D151" s="57" t="s">
        <v>199</v>
      </c>
      <c r="E151" s="46">
        <v>1</v>
      </c>
      <c r="F151" s="43" t="s">
        <v>430</v>
      </c>
      <c r="G151" s="44">
        <v>1509.2</v>
      </c>
      <c r="H151" s="44">
        <v>566.5</v>
      </c>
      <c r="I151" s="45">
        <f t="shared" si="7"/>
        <v>2075.6999999999998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341</v>
      </c>
      <c r="B152" s="55" t="s">
        <v>342</v>
      </c>
      <c r="C152" s="57" t="s">
        <v>364</v>
      </c>
      <c r="D152" s="57" t="s">
        <v>199</v>
      </c>
      <c r="E152" s="46">
        <v>1</v>
      </c>
      <c r="F152" s="43" t="s">
        <v>431</v>
      </c>
      <c r="G152" s="44">
        <v>1509.2</v>
      </c>
      <c r="H152" s="44">
        <v>849.76</v>
      </c>
      <c r="I152" s="45">
        <f t="shared" si="7"/>
        <v>2358.96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346</v>
      </c>
      <c r="B153" s="55" t="s">
        <v>97</v>
      </c>
      <c r="C153" s="57" t="s">
        <v>260</v>
      </c>
      <c r="D153" s="57" t="s">
        <v>181</v>
      </c>
      <c r="E153" s="46">
        <v>1</v>
      </c>
      <c r="F153" s="78" t="s">
        <v>432</v>
      </c>
      <c r="G153" s="44">
        <v>0</v>
      </c>
      <c r="H153" s="44">
        <v>566.5</v>
      </c>
      <c r="I153" s="45">
        <f t="shared" si="7"/>
        <v>566.5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340</v>
      </c>
      <c r="B154" s="55" t="s">
        <v>93</v>
      </c>
      <c r="C154" s="57" t="s">
        <v>260</v>
      </c>
      <c r="D154" s="73" t="s">
        <v>183</v>
      </c>
      <c r="E154" s="46">
        <v>1</v>
      </c>
      <c r="F154" s="79" t="s">
        <v>183</v>
      </c>
      <c r="G154" s="44">
        <v>0</v>
      </c>
      <c r="H154" s="44">
        <v>0</v>
      </c>
      <c r="I154" s="45">
        <f t="shared" si="7"/>
        <v>0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365</v>
      </c>
      <c r="B155" s="55" t="s">
        <v>93</v>
      </c>
      <c r="C155" s="57" t="s">
        <v>260</v>
      </c>
      <c r="D155" s="57" t="s">
        <v>181</v>
      </c>
      <c r="E155" s="46">
        <v>1</v>
      </c>
      <c r="F155" s="43" t="s">
        <v>434</v>
      </c>
      <c r="G155" s="44">
        <v>0</v>
      </c>
      <c r="H155" s="44">
        <v>1392.8</v>
      </c>
      <c r="I155" s="45">
        <f t="shared" si="7"/>
        <v>1392.8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435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341</v>
      </c>
      <c r="B157" s="55" t="s">
        <v>342</v>
      </c>
      <c r="C157" s="57" t="s">
        <v>198</v>
      </c>
      <c r="D157" s="57" t="s">
        <v>199</v>
      </c>
      <c r="E157" s="46">
        <v>1</v>
      </c>
      <c r="F157" s="43" t="s">
        <v>436</v>
      </c>
      <c r="G157" s="44">
        <v>809.06</v>
      </c>
      <c r="H157" s="44">
        <v>849.76</v>
      </c>
      <c r="I157" s="45">
        <f t="shared" si="7"/>
        <v>1658.82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343</v>
      </c>
      <c r="B158" s="55" t="s">
        <v>101</v>
      </c>
      <c r="C158" s="57" t="s">
        <v>198</v>
      </c>
      <c r="D158" s="57" t="s">
        <v>199</v>
      </c>
      <c r="E158" s="46">
        <v>1</v>
      </c>
      <c r="F158" s="43" t="s">
        <v>437</v>
      </c>
      <c r="G158" s="44">
        <v>1509.2</v>
      </c>
      <c r="H158" s="44">
        <v>849.76</v>
      </c>
      <c r="I158" s="45">
        <f t="shared" si="7"/>
        <v>2358.96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340</v>
      </c>
      <c r="B159" s="55" t="s">
        <v>93</v>
      </c>
      <c r="C159" s="57" t="s">
        <v>366</v>
      </c>
      <c r="D159" s="57" t="s">
        <v>181</v>
      </c>
      <c r="E159" s="46">
        <v>1</v>
      </c>
      <c r="F159" s="43" t="s">
        <v>438</v>
      </c>
      <c r="G159" s="44">
        <v>0</v>
      </c>
      <c r="H159" s="44">
        <v>1392.8</v>
      </c>
      <c r="I159" s="45">
        <f t="shared" si="7"/>
        <v>1392.8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199</v>
      </c>
      <c r="E160" s="46">
        <v>1</v>
      </c>
      <c r="F160" s="43" t="s">
        <v>439</v>
      </c>
      <c r="G160" s="44">
        <v>852.4</v>
      </c>
      <c r="H160" s="44">
        <v>1392.8</v>
      </c>
      <c r="I160" s="45">
        <f t="shared" si="7"/>
        <v>2245.1999999999998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341</v>
      </c>
      <c r="B161" s="55" t="s">
        <v>342</v>
      </c>
      <c r="C161" s="57" t="s">
        <v>366</v>
      </c>
      <c r="D161" s="57" t="s">
        <v>199</v>
      </c>
      <c r="E161" s="46">
        <v>1</v>
      </c>
      <c r="F161" s="43" t="s">
        <v>440</v>
      </c>
      <c r="G161" s="44">
        <v>831.26</v>
      </c>
      <c r="H161" s="44">
        <v>849.76</v>
      </c>
      <c r="I161" s="45">
        <f t="shared" si="7"/>
        <v>1681.02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441</v>
      </c>
      <c r="G162" s="44">
        <v>824.11</v>
      </c>
      <c r="H162" s="44">
        <v>849.76</v>
      </c>
      <c r="I162" s="45">
        <f t="shared" si="7"/>
        <v>1673.87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442</v>
      </c>
      <c r="G163" s="44">
        <v>1109.1600000000001</v>
      </c>
      <c r="H163" s="44">
        <v>849.76</v>
      </c>
      <c r="I163" s="45">
        <f t="shared" si="7"/>
        <v>1958.92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443</v>
      </c>
      <c r="G164" s="44">
        <v>811.5</v>
      </c>
      <c r="H164" s="44">
        <v>849.76</v>
      </c>
      <c r="I164" s="45">
        <f t="shared" si="7"/>
        <v>1661.26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444</v>
      </c>
      <c r="G165" s="44">
        <v>831.13</v>
      </c>
      <c r="H165" s="44">
        <v>849.76</v>
      </c>
      <c r="I165" s="45">
        <f t="shared" si="7"/>
        <v>1680.8899999999999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346</v>
      </c>
      <c r="B166" s="55" t="s">
        <v>97</v>
      </c>
      <c r="C166" s="57" t="s">
        <v>366</v>
      </c>
      <c r="D166" s="57" t="s">
        <v>199</v>
      </c>
      <c r="E166" s="46">
        <v>1</v>
      </c>
      <c r="F166" s="43" t="s">
        <v>445</v>
      </c>
      <c r="G166" s="44">
        <v>844.87</v>
      </c>
      <c r="H166" s="44">
        <v>566.5</v>
      </c>
      <c r="I166" s="45">
        <f t="shared" si="7"/>
        <v>1411.37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291</v>
      </c>
      <c r="D167" s="57" t="s">
        <v>199</v>
      </c>
      <c r="E167" s="46">
        <v>1</v>
      </c>
      <c r="F167" s="43" t="s">
        <v>446</v>
      </c>
      <c r="G167" s="44">
        <v>852.4</v>
      </c>
      <c r="H167" s="44">
        <v>566.5</v>
      </c>
      <c r="I167" s="45">
        <f t="shared" si="7"/>
        <v>1418.9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94</v>
      </c>
      <c r="B168" s="55" t="s">
        <v>342</v>
      </c>
      <c r="C168" s="57" t="s">
        <v>291</v>
      </c>
      <c r="D168" s="57" t="s">
        <v>199</v>
      </c>
      <c r="E168" s="46">
        <v>1</v>
      </c>
      <c r="F168" s="43" t="s">
        <v>487</v>
      </c>
      <c r="G168" s="44">
        <v>809.06</v>
      </c>
      <c r="H168" s="44">
        <v>849.76</v>
      </c>
      <c r="I168" s="45">
        <f t="shared" si="7"/>
        <v>1658.82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341</v>
      </c>
      <c r="B169" s="55" t="s">
        <v>342</v>
      </c>
      <c r="C169" s="57" t="s">
        <v>291</v>
      </c>
      <c r="D169" s="57" t="s">
        <v>181</v>
      </c>
      <c r="E169" s="46">
        <v>1</v>
      </c>
      <c r="F169" s="43" t="s">
        <v>448</v>
      </c>
      <c r="G169" s="44">
        <v>0</v>
      </c>
      <c r="H169" s="44">
        <v>849.76</v>
      </c>
      <c r="I169" s="45">
        <f t="shared" si="7"/>
        <v>849.76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340</v>
      </c>
      <c r="B170" s="55" t="s">
        <v>93</v>
      </c>
      <c r="C170" s="57" t="s">
        <v>291</v>
      </c>
      <c r="D170" s="57" t="s">
        <v>199</v>
      </c>
      <c r="E170" s="46">
        <v>1</v>
      </c>
      <c r="F170" s="43" t="s">
        <v>449</v>
      </c>
      <c r="G170" s="44">
        <v>852.4</v>
      </c>
      <c r="H170" s="44">
        <v>1392.8</v>
      </c>
      <c r="I170" s="45">
        <f t="shared" si="7"/>
        <v>2245.1999999999998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450</v>
      </c>
      <c r="G171" s="44">
        <v>844.87</v>
      </c>
      <c r="H171" s="44">
        <v>1392.8</v>
      </c>
      <c r="I171" s="45">
        <f t="shared" si="7"/>
        <v>2237.67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451</v>
      </c>
      <c r="G172" s="44">
        <v>852.4</v>
      </c>
      <c r="H172" s="44">
        <v>1392.8</v>
      </c>
      <c r="I172" s="45">
        <f t="shared" si="7"/>
        <v>2245.1999999999998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346</v>
      </c>
      <c r="B173" s="55" t="s">
        <v>97</v>
      </c>
      <c r="C173" s="57" t="s">
        <v>291</v>
      </c>
      <c r="D173" s="57" t="s">
        <v>199</v>
      </c>
      <c r="E173" s="46">
        <v>1</v>
      </c>
      <c r="F173" s="43" t="s">
        <v>452</v>
      </c>
      <c r="G173" s="44">
        <v>852.4</v>
      </c>
      <c r="H173" s="44">
        <v>566.5</v>
      </c>
      <c r="I173" s="45">
        <f t="shared" si="7"/>
        <v>1418.9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344</v>
      </c>
      <c r="B174" s="55" t="s">
        <v>345</v>
      </c>
      <c r="C174" s="57" t="s">
        <v>291</v>
      </c>
      <c r="D174" s="57" t="s">
        <v>199</v>
      </c>
      <c r="E174" s="46">
        <v>1</v>
      </c>
      <c r="F174" s="43" t="s">
        <v>453</v>
      </c>
      <c r="G174" s="44">
        <v>1509.2</v>
      </c>
      <c r="H174" s="44">
        <v>505.81</v>
      </c>
      <c r="I174" s="45">
        <f t="shared" si="7"/>
        <v>2015.01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367</v>
      </c>
      <c r="B175" s="55" t="s">
        <v>103</v>
      </c>
      <c r="C175" s="57" t="s">
        <v>291</v>
      </c>
      <c r="D175" s="57" t="s">
        <v>199</v>
      </c>
      <c r="E175" s="46">
        <v>1</v>
      </c>
      <c r="F175" s="43" t="s">
        <v>454</v>
      </c>
      <c r="G175" s="44">
        <v>1509.2</v>
      </c>
      <c r="H175" s="44">
        <v>364.17</v>
      </c>
      <c r="I175" s="45">
        <f t="shared" si="7"/>
        <v>1873.3700000000001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340</v>
      </c>
      <c r="B176" s="55" t="s">
        <v>93</v>
      </c>
      <c r="C176" s="57" t="s">
        <v>203</v>
      </c>
      <c r="D176" s="57" t="s">
        <v>181</v>
      </c>
      <c r="E176" s="46">
        <v>1</v>
      </c>
      <c r="F176" s="43" t="s">
        <v>455</v>
      </c>
      <c r="G176" s="44">
        <v>0</v>
      </c>
      <c r="H176" s="44">
        <v>1392.8</v>
      </c>
      <c r="I176" s="45">
        <f t="shared" si="7"/>
        <v>1392.8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456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199</v>
      </c>
      <c r="E178" s="46">
        <v>1</v>
      </c>
      <c r="F178" s="43" t="s">
        <v>457</v>
      </c>
      <c r="G178" s="44">
        <v>1509.2</v>
      </c>
      <c r="H178" s="44">
        <v>1392.8</v>
      </c>
      <c r="I178" s="45">
        <f t="shared" si="7"/>
        <v>2902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346</v>
      </c>
      <c r="B179" s="55" t="s">
        <v>97</v>
      </c>
      <c r="C179" s="57" t="s">
        <v>295</v>
      </c>
      <c r="D179" s="57" t="s">
        <v>199</v>
      </c>
      <c r="E179" s="46">
        <v>1</v>
      </c>
      <c r="F179" s="43" t="s">
        <v>458</v>
      </c>
      <c r="G179" s="44">
        <v>844.87</v>
      </c>
      <c r="H179" s="44">
        <v>566.5</v>
      </c>
      <c r="I179" s="45">
        <f t="shared" si="7"/>
        <v>1411.37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341</v>
      </c>
      <c r="B180" s="55" t="s">
        <v>342</v>
      </c>
      <c r="C180" s="57" t="s">
        <v>295</v>
      </c>
      <c r="D180" s="57" t="s">
        <v>199</v>
      </c>
      <c r="E180" s="46">
        <v>1</v>
      </c>
      <c r="F180" s="43" t="s">
        <v>459</v>
      </c>
      <c r="G180" s="44">
        <v>1509.2</v>
      </c>
      <c r="H180" s="44">
        <v>849.76</v>
      </c>
      <c r="I180" s="45">
        <f t="shared" si="7"/>
        <v>2358.96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299</v>
      </c>
      <c r="D181" s="57" t="s">
        <v>199</v>
      </c>
      <c r="E181" s="46">
        <v>1</v>
      </c>
      <c r="F181" s="43" t="s">
        <v>460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368</v>
      </c>
      <c r="D182" s="57" t="s">
        <v>199</v>
      </c>
      <c r="E182" s="46">
        <v>1</v>
      </c>
      <c r="F182" s="43" t="s">
        <v>461</v>
      </c>
      <c r="G182" s="44">
        <v>987.85</v>
      </c>
      <c r="H182" s="44">
        <v>849.76</v>
      </c>
      <c r="I182" s="45">
        <f t="shared" si="7"/>
        <v>1837.6100000000001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344</v>
      </c>
      <c r="B183" s="55" t="s">
        <v>345</v>
      </c>
      <c r="C183" s="57" t="s">
        <v>368</v>
      </c>
      <c r="D183" s="57" t="s">
        <v>199</v>
      </c>
      <c r="E183" s="46">
        <v>1</v>
      </c>
      <c r="F183" s="43" t="s">
        <v>462</v>
      </c>
      <c r="G183" s="44">
        <v>990.49</v>
      </c>
      <c r="H183" s="44">
        <v>505.81</v>
      </c>
      <c r="I183" s="45">
        <f t="shared" si="7"/>
        <v>1496.3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463</v>
      </c>
      <c r="G184" s="44">
        <v>987.85</v>
      </c>
      <c r="H184" s="44">
        <v>505.81</v>
      </c>
      <c r="I184" s="45">
        <f t="shared" si="7"/>
        <v>1493.66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346</v>
      </c>
      <c r="B185" s="55" t="s">
        <v>97</v>
      </c>
      <c r="C185" s="57" t="s">
        <v>368</v>
      </c>
      <c r="D185" s="57" t="s">
        <v>199</v>
      </c>
      <c r="E185" s="46">
        <v>1</v>
      </c>
      <c r="F185" s="43" t="s">
        <v>464</v>
      </c>
      <c r="G185" s="44">
        <v>974.09</v>
      </c>
      <c r="H185" s="44">
        <v>566.5</v>
      </c>
      <c r="I185" s="45">
        <f t="shared" si="7"/>
        <v>1540.5900000000001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369</v>
      </c>
      <c r="D186" s="57" t="s">
        <v>199</v>
      </c>
      <c r="E186" s="46">
        <v>1</v>
      </c>
      <c r="F186" s="43" t="s">
        <v>465</v>
      </c>
      <c r="G186" s="44">
        <v>852.4</v>
      </c>
      <c r="H186" s="44">
        <v>566.5</v>
      </c>
      <c r="I186" s="45">
        <f t="shared" si="7"/>
        <v>1418.9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341</v>
      </c>
      <c r="B187" s="55" t="s">
        <v>342</v>
      </c>
      <c r="C187" s="57" t="s">
        <v>370</v>
      </c>
      <c r="D187" s="73" t="s">
        <v>199</v>
      </c>
      <c r="E187" s="46">
        <v>1</v>
      </c>
      <c r="F187" s="79" t="s">
        <v>496</v>
      </c>
      <c r="G187" s="44">
        <v>24932.44</v>
      </c>
      <c r="H187" s="44">
        <v>849.76</v>
      </c>
      <c r="I187" s="45">
        <f t="shared" si="7"/>
        <v>25782.199999999997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346</v>
      </c>
      <c r="B188" s="55" t="s">
        <v>97</v>
      </c>
      <c r="C188" s="57" t="s">
        <v>370</v>
      </c>
      <c r="D188" s="57" t="s">
        <v>181</v>
      </c>
      <c r="E188" s="46">
        <v>1</v>
      </c>
      <c r="F188" s="43" t="s">
        <v>467</v>
      </c>
      <c r="G188" s="44">
        <v>0</v>
      </c>
      <c r="H188" s="44">
        <v>566.5</v>
      </c>
      <c r="I188" s="45">
        <f t="shared" si="7"/>
        <v>566.5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371</v>
      </c>
      <c r="D189" s="57" t="s">
        <v>183</v>
      </c>
      <c r="E189" s="46">
        <v>1</v>
      </c>
      <c r="F189" s="79" t="s">
        <v>183</v>
      </c>
      <c r="G189" s="44">
        <v>0</v>
      </c>
      <c r="H189" s="44">
        <v>0</v>
      </c>
      <c r="I189" s="45">
        <f t="shared" si="7"/>
        <v>0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372</v>
      </c>
      <c r="D190" s="57" t="s">
        <v>199</v>
      </c>
      <c r="E190" s="46">
        <v>1</v>
      </c>
      <c r="F190" s="43" t="s">
        <v>469</v>
      </c>
      <c r="G190" s="44">
        <v>853.96</v>
      </c>
      <c r="H190" s="44">
        <v>566.5</v>
      </c>
      <c r="I190" s="45">
        <f t="shared" si="7"/>
        <v>1420.46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56" t="s">
        <v>340</v>
      </c>
      <c r="B191" s="55" t="s">
        <v>93</v>
      </c>
      <c r="C191" s="55" t="s">
        <v>373</v>
      </c>
      <c r="D191" s="57" t="s">
        <v>181</v>
      </c>
      <c r="E191" s="46">
        <v>1</v>
      </c>
      <c r="F191" s="47" t="s">
        <v>470</v>
      </c>
      <c r="G191" s="44">
        <v>0</v>
      </c>
      <c r="H191" s="44">
        <v>1392.8</v>
      </c>
      <c r="I191" s="45">
        <f t="shared" si="7"/>
        <v>1392.8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365</v>
      </c>
      <c r="B192" s="55" t="s">
        <v>93</v>
      </c>
      <c r="C192" s="55" t="s">
        <v>373</v>
      </c>
      <c r="D192" s="57" t="s">
        <v>199</v>
      </c>
      <c r="E192" s="46">
        <v>1</v>
      </c>
      <c r="F192" s="56" t="s">
        <v>471</v>
      </c>
      <c r="G192" s="44">
        <v>837.26</v>
      </c>
      <c r="H192" s="44">
        <v>1392.8</v>
      </c>
      <c r="I192" s="45">
        <f t="shared" si="7"/>
        <v>2230.06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340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472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365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473</v>
      </c>
      <c r="G194" s="44">
        <v>844.13</v>
      </c>
      <c r="H194" s="44">
        <v>1392.8</v>
      </c>
      <c r="I194" s="45">
        <f t="shared" si="7"/>
        <v>2236.9299999999998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346</v>
      </c>
      <c r="B195" s="55" t="s">
        <v>97</v>
      </c>
      <c r="C195" s="55" t="s">
        <v>373</v>
      </c>
      <c r="D195" s="57" t="s">
        <v>181</v>
      </c>
      <c r="E195" s="46">
        <v>1</v>
      </c>
      <c r="F195" s="56" t="s">
        <v>474</v>
      </c>
      <c r="G195" s="44">
        <v>0</v>
      </c>
      <c r="H195" s="44">
        <v>566.5</v>
      </c>
      <c r="I195" s="45">
        <f t="shared" si="7"/>
        <v>566.5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365</v>
      </c>
      <c r="B196" s="55" t="s">
        <v>93</v>
      </c>
      <c r="C196" s="55" t="s">
        <v>373</v>
      </c>
      <c r="D196" s="57" t="s">
        <v>199</v>
      </c>
      <c r="E196" s="46">
        <v>1</v>
      </c>
      <c r="F196" s="56" t="s">
        <v>475</v>
      </c>
      <c r="G196" s="44">
        <v>830.46</v>
      </c>
      <c r="H196" s="44">
        <v>1392.8</v>
      </c>
      <c r="I196" s="45">
        <f t="shared" si="7"/>
        <v>2223.2600000000002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476</v>
      </c>
      <c r="G197" s="44">
        <v>837.13</v>
      </c>
      <c r="H197" s="44">
        <v>1392.8</v>
      </c>
      <c r="I197" s="45">
        <f t="shared" si="7"/>
        <v>2229.9299999999998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45" x14ac:dyDescent="0.2">
      <c r="A198" s="63" t="s">
        <v>84</v>
      </c>
      <c r="B198" s="63" t="s">
        <v>85</v>
      </c>
      <c r="C198" s="35" t="s">
        <v>86</v>
      </c>
      <c r="D198" s="35" t="s">
        <v>87</v>
      </c>
      <c r="E198" s="35" t="s">
        <v>88</v>
      </c>
      <c r="F198" s="48"/>
      <c r="G198" s="35" t="s">
        <v>89</v>
      </c>
      <c r="H198" s="35" t="s">
        <v>90</v>
      </c>
      <c r="I198" s="35" t="s">
        <v>91</v>
      </c>
      <c r="J198" s="21"/>
      <c r="K198" s="21"/>
      <c r="L198" s="21"/>
      <c r="M198" s="21"/>
      <c r="N198" s="21"/>
      <c r="O198" s="21"/>
      <c r="P198" s="21"/>
      <c r="Q198" s="21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 spans="1:30" x14ac:dyDescent="0.2">
      <c r="A199" s="58" t="s">
        <v>92</v>
      </c>
      <c r="B199" s="59" t="s">
        <v>93</v>
      </c>
      <c r="C199" s="28">
        <f>SUMIFS($E$94:$E$197,$B$94:$B$197,"FGS-1",$D$94:$D$197,"&lt;&gt;VAGO")</f>
        <v>43</v>
      </c>
      <c r="D199" s="28">
        <f>SUMIFS($E$94:$E$197,$B$94:$B$197,"FGS-1",$D$94:$D$197,"VAGO")</f>
        <v>1</v>
      </c>
      <c r="E199" s="28">
        <f t="shared" ref="E199:E204" si="8">C199+D199</f>
        <v>44</v>
      </c>
      <c r="F199" s="29"/>
      <c r="G199" s="45">
        <f>SUMIF($B$94:$B$197,"FGS-1",$G$94:$G$197)</f>
        <v>21240.109999999997</v>
      </c>
      <c r="H199" s="45">
        <f>SUMIF($B$94:$B$197,"FGS-1",$H$94:$H$197)</f>
        <v>59890.400000000045</v>
      </c>
      <c r="I199" s="71">
        <f>SUMIF($B$94:$B$197,"FGS-1",$I$94:$I$197)</f>
        <v>81130.509999999995</v>
      </c>
      <c r="J199" s="21"/>
      <c r="K199" s="21"/>
      <c r="L199" s="21"/>
      <c r="M199" s="21"/>
      <c r="N199" s="21"/>
      <c r="O199" s="21"/>
      <c r="P199" s="21"/>
      <c r="Q199" s="21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spans="1:30" x14ac:dyDescent="0.2">
      <c r="A200" s="58" t="s">
        <v>94</v>
      </c>
      <c r="B200" s="59" t="s">
        <v>95</v>
      </c>
      <c r="C200" s="28">
        <f>SUMIFS($E$94:$E$197,$B$94:$B$197,"FGS-2",$D$94:$D$197,"&lt;&gt;VAGO")</f>
        <v>20</v>
      </c>
      <c r="D200" s="28">
        <f>SUMIFS($E$94:$E$197,$B$94:$B$197,"FGS-2",$D$94:$D$197,"VAGO")</f>
        <v>0</v>
      </c>
      <c r="E200" s="28">
        <f t="shared" si="8"/>
        <v>20</v>
      </c>
      <c r="F200" s="32"/>
      <c r="G200" s="45">
        <f>SUMIF($B$94:$B$197,"FGS-2",$G$94:$G$197)</f>
        <v>42821.42</v>
      </c>
      <c r="H200" s="45">
        <f>SUMIF($B$94:$B$197,"FGS-2",$H$94:$H$197)</f>
        <v>16995.2</v>
      </c>
      <c r="I200" s="71">
        <f>SUMIF($B$94:$B$197,"FGS-2",$I$94:$I$197)</f>
        <v>59816.619999999988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96</v>
      </c>
      <c r="B201" s="59" t="s">
        <v>97</v>
      </c>
      <c r="C201" s="28">
        <f>SUMIFS($E$94:$E$197,$B$94:$B$197,"FGS-3",$D$94:$D$197,"&lt;&gt;VAGO")</f>
        <v>31</v>
      </c>
      <c r="D201" s="28">
        <f>SUMIFS($E$94:$E$197,$B$94:$B$197,"FGS-3",$D$94:$D$197,"VAGO")</f>
        <v>1</v>
      </c>
      <c r="E201" s="28">
        <f t="shared" si="8"/>
        <v>32</v>
      </c>
      <c r="F201" s="32"/>
      <c r="G201" s="45">
        <f>SUMIF($B$94:$B$197,"FGS-3",$G$94:$G$197)</f>
        <v>35036.65</v>
      </c>
      <c r="H201" s="45">
        <f>SUMIF($B$94:$B$197,"FGS-3",$H$94:$H$197)</f>
        <v>18387.8</v>
      </c>
      <c r="I201" s="71">
        <f>SUMIF($B$94:$B$197,"FGS-3",$I$94:$I$197)</f>
        <v>53424.450000000012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60" t="s">
        <v>98</v>
      </c>
      <c r="B202" s="61" t="s">
        <v>99</v>
      </c>
      <c r="C202" s="28">
        <f>SUMIFS($E$94:$E$197,$B$94:$B$197,"FGA-1",$D$94:$D$197,"&lt;&gt;VAGO")</f>
        <v>5</v>
      </c>
      <c r="D202" s="28">
        <f>SUMIFS($E$94:$E$197,$B$94:$B$197,"FGA-1",$D$94:$D$197,"VAGO")</f>
        <v>0</v>
      </c>
      <c r="E202" s="28">
        <f t="shared" si="8"/>
        <v>5</v>
      </c>
      <c r="F202" s="34"/>
      <c r="G202" s="45">
        <f>SUMIF($B$94:$B$197,"FGA-1",$G$94:$G$197)</f>
        <v>5171.2</v>
      </c>
      <c r="H202" s="45">
        <f>SUMIF($B$94:$B$197,"FGA-1",$H$94:$H$197)</f>
        <v>2529.0500000000002</v>
      </c>
      <c r="I202" s="71">
        <f>SUMIF($B$94:$B$197,"FGA-1",$I$94:$I$197)</f>
        <v>7700.25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58" t="s">
        <v>100</v>
      </c>
      <c r="B203" s="59" t="s">
        <v>101</v>
      </c>
      <c r="C203" s="28">
        <f>SUMIFS($E$94:$E$197,$B$94:$B$197,"FGA-2",$D$94:$D$197,"&lt;&gt;VAGO")</f>
        <v>2</v>
      </c>
      <c r="D203" s="28">
        <f>SUMIFS($E$94:$E$197,$B$94:$B$197,"FGA-2",$D$94:$D$197,"VAGO")</f>
        <v>0</v>
      </c>
      <c r="E203" s="28">
        <f t="shared" si="8"/>
        <v>2</v>
      </c>
      <c r="F203" s="34"/>
      <c r="G203" s="45">
        <f>SUMIF($B$94:$B$197,"FGA-2",$G$94:$G$197)</f>
        <v>2340.46</v>
      </c>
      <c r="H203" s="45">
        <f>SUMIF($B$94:$B$197,"FGA-2",$H$94:$H$197)</f>
        <v>1315.1100000000001</v>
      </c>
      <c r="I203" s="71">
        <f>SUMIF($B$94:$B$197,"FGA-2",$I$94:$I$197)</f>
        <v>3655.57</v>
      </c>
      <c r="J203" s="21"/>
      <c r="K203" s="21"/>
      <c r="L203" s="21"/>
      <c r="M203" s="21"/>
      <c r="N203" s="21"/>
      <c r="O203" s="21"/>
      <c r="P203" s="21"/>
      <c r="Q203" s="21"/>
      <c r="R203" s="40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102</v>
      </c>
      <c r="B204" s="59" t="s">
        <v>103</v>
      </c>
      <c r="C204" s="28">
        <f>SUMIFS($E$94:$E$197,$B$94:$B$197,"FGA-3",$D$94:$D$197,"&lt;&gt;VAGO")</f>
        <v>1</v>
      </c>
      <c r="D204" s="28">
        <f>SUMIFS($E$94:$E$197,$B$94:$B$197,"FGA-3",$D$94:$D$197,"VAGO")</f>
        <v>0</v>
      </c>
      <c r="E204" s="28">
        <f t="shared" si="8"/>
        <v>1</v>
      </c>
      <c r="F204" s="32"/>
      <c r="G204" s="45">
        <f>SUMIF($B$94:$B$197,"FGA-3",$G$94:$G$197)</f>
        <v>1509.2</v>
      </c>
      <c r="H204" s="45">
        <f>SUMIF($B$94:$B$197,"FGA-3",$H$94:$H$197)</f>
        <v>364.17</v>
      </c>
      <c r="I204" s="71">
        <f>SUMIF($B$94:$B$197,"FGA-3",$I$94:$I$197)</f>
        <v>1873.3700000000001</v>
      </c>
      <c r="J204" s="21"/>
      <c r="K204" s="21"/>
      <c r="L204" s="21"/>
      <c r="M204" s="21"/>
      <c r="N204" s="21"/>
      <c r="O204" s="21"/>
      <c r="P204" s="21"/>
      <c r="Q204" s="21"/>
      <c r="R204" s="49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 spans="1:30" ht="30" x14ac:dyDescent="0.2">
      <c r="A205" s="63" t="s">
        <v>104</v>
      </c>
      <c r="B205" s="48"/>
      <c r="C205" s="35">
        <f t="shared" ref="C205:E205" si="9">SUM(C199:C204)</f>
        <v>102</v>
      </c>
      <c r="D205" s="35">
        <f t="shared" si="9"/>
        <v>2</v>
      </c>
      <c r="E205" s="35">
        <f t="shared" si="9"/>
        <v>104</v>
      </c>
      <c r="F205" s="48"/>
      <c r="G205" s="51">
        <f t="shared" ref="G205:I205" si="10">SUM(G199:G204)</f>
        <v>108119.03999999999</v>
      </c>
      <c r="H205" s="51">
        <f t="shared" si="10"/>
        <v>99481.730000000054</v>
      </c>
      <c r="I205" s="51">
        <f t="shared" si="10"/>
        <v>207600.77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3" customHeight="1" x14ac:dyDescent="0.2">
      <c r="A206" s="37"/>
      <c r="B206" s="37"/>
      <c r="C206" s="37"/>
      <c r="D206" s="37"/>
      <c r="E206" s="37"/>
      <c r="F206" s="37"/>
      <c r="G206" s="37"/>
      <c r="H206" s="37"/>
      <c r="I206" s="62"/>
      <c r="J206" s="62"/>
      <c r="K206" s="7"/>
      <c r="L206" s="62"/>
      <c r="M206" s="62"/>
      <c r="N206" s="62"/>
      <c r="O206" s="62"/>
      <c r="P206" s="62"/>
      <c r="Q206" s="62"/>
      <c r="R206" s="40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spans="1:30" ht="45" x14ac:dyDescent="0.2">
      <c r="A207" s="63"/>
      <c r="B207" s="63"/>
      <c r="C207" s="35" t="s">
        <v>105</v>
      </c>
      <c r="D207" s="35" t="s">
        <v>106</v>
      </c>
      <c r="E207" s="35" t="s">
        <v>107</v>
      </c>
      <c r="F207" s="25"/>
      <c r="G207" s="35" t="s">
        <v>108</v>
      </c>
      <c r="H207" s="35" t="s">
        <v>109</v>
      </c>
      <c r="I207" s="35" t="s">
        <v>110</v>
      </c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30" x14ac:dyDescent="0.2">
      <c r="A208" s="63" t="s">
        <v>111</v>
      </c>
      <c r="B208" s="25"/>
      <c r="C208" s="35">
        <f>SUM(C38+C90+C205)</f>
        <v>150</v>
      </c>
      <c r="D208" s="35">
        <f>SUM(D38+D90+D205)</f>
        <v>15</v>
      </c>
      <c r="E208" s="35">
        <f>SUM(E38+E90+E205)</f>
        <v>165</v>
      </c>
      <c r="F208" s="25"/>
      <c r="G208" s="51">
        <f>SUM(H38+G90+G205)</f>
        <v>172928.96</v>
      </c>
      <c r="H208" s="51">
        <f>SUM(I38+H90+H205)</f>
        <v>287000.5400000001</v>
      </c>
      <c r="I208" s="51">
        <f>SUM(J38+I90+I205)</f>
        <v>477929.5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customHeight="1" x14ac:dyDescent="0.2">
      <c r="A209" s="37"/>
      <c r="B209" s="37"/>
      <c r="C209" s="37"/>
      <c r="D209" s="37"/>
      <c r="E209" s="37"/>
      <c r="F209" s="37"/>
      <c r="G209" s="37"/>
      <c r="H209" s="37"/>
      <c r="I209" s="62"/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x14ac:dyDescent="0.2">
      <c r="A210" s="100" t="s">
        <v>112</v>
      </c>
      <c r="B210" s="93"/>
      <c r="C210" s="93"/>
      <c r="D210" s="93"/>
      <c r="E210" s="93"/>
      <c r="F210" s="94"/>
      <c r="G210" s="21"/>
      <c r="H210" s="37"/>
      <c r="I210" s="37"/>
      <c r="J210" s="37"/>
      <c r="K210" s="21"/>
      <c r="L210" s="37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ht="15" customHeight="1" x14ac:dyDescent="0.2">
      <c r="A211" s="101" t="s">
        <v>113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37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482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2" t="s">
        <v>483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481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480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x14ac:dyDescent="0.2">
      <c r="A216" s="103"/>
      <c r="B216" s="96"/>
      <c r="C216" s="96"/>
      <c r="D216" s="96"/>
      <c r="E216" s="96"/>
      <c r="F216" s="96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0" t="s">
        <v>114</v>
      </c>
      <c r="B217" s="93"/>
      <c r="C217" s="93"/>
      <c r="D217" s="93"/>
      <c r="E217" s="93"/>
      <c r="F217" s="94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4" t="s">
        <v>115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92" t="s">
        <v>116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117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118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119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120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121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122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123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124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125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126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127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128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129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130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131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132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133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134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135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136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137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138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64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</row>
    <row r="242" spans="1:30" x14ac:dyDescent="0.2">
      <c r="A242" s="92" t="s">
        <v>139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140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141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142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143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144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145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146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147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148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149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150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151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152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153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154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155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ht="14.25" x14ac:dyDescent="0.2">
      <c r="A259" s="92" t="s">
        <v>156</v>
      </c>
      <c r="B259" s="93"/>
      <c r="C259" s="93"/>
      <c r="D259" s="93"/>
      <c r="E259" s="93"/>
      <c r="F259" s="94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157</v>
      </c>
      <c r="B260" s="93"/>
      <c r="C260" s="93"/>
      <c r="D260" s="93"/>
      <c r="E260" s="93"/>
      <c r="F260" s="94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158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159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160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161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162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163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164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165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166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167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168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169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170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171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172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173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174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175</v>
      </c>
      <c r="B278" s="93"/>
      <c r="C278" s="93"/>
      <c r="D278" s="93"/>
      <c r="E278" s="93"/>
      <c r="F278" s="94"/>
      <c r="G278" s="68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/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</sheetData>
  <mergeCells count="76">
    <mergeCell ref="A275:F275"/>
    <mergeCell ref="A276:F276"/>
    <mergeCell ref="A277:F277"/>
    <mergeCell ref="A278:F278"/>
    <mergeCell ref="A269:F269"/>
    <mergeCell ref="A270:F270"/>
    <mergeCell ref="A271:F271"/>
    <mergeCell ref="A272:F272"/>
    <mergeCell ref="A273:F273"/>
    <mergeCell ref="A274:F274"/>
    <mergeCell ref="A268:F268"/>
    <mergeCell ref="A257:F257"/>
    <mergeCell ref="A258:F258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56:F256"/>
    <mergeCell ref="A245:F245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F255"/>
    <mergeCell ref="A244:F244"/>
    <mergeCell ref="A233:F233"/>
    <mergeCell ref="A234:F234"/>
    <mergeCell ref="A235:F235"/>
    <mergeCell ref="A236:F236"/>
    <mergeCell ref="A237:F237"/>
    <mergeCell ref="A238:F238"/>
    <mergeCell ref="A239:F239"/>
    <mergeCell ref="A240:F240"/>
    <mergeCell ref="A241:F241"/>
    <mergeCell ref="A242:F242"/>
    <mergeCell ref="A243:F243"/>
    <mergeCell ref="A232:F232"/>
    <mergeCell ref="A221:F221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20:F220"/>
    <mergeCell ref="A92:I92"/>
    <mergeCell ref="A210:F210"/>
    <mergeCell ref="A211:F211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40:I40"/>
    <mergeCell ref="A1:J1"/>
    <mergeCell ref="A2:J2"/>
    <mergeCell ref="A3:J3"/>
    <mergeCell ref="B4:J4"/>
    <mergeCell ref="A5:J5"/>
  </mergeCells>
  <dataValidations count="4">
    <dataValidation type="list" allowBlank="1" sqref="B42:B83">
      <formula1>"FDA,FDA-1,FDA-2,FDA-3,FDA-4"</formula1>
    </dataValidation>
    <dataValidation type="list" allowBlank="1" sqref="D94:D197 D42:D83 D7:D25">
      <formula1>"AGP,CLH,CLT,COM,CTD,CTI,DES,DISP,ELE,ESG,EST,EXM,EXQ,EXR,FRQ,REV,VAGO"</formula1>
    </dataValidation>
    <dataValidation type="list" allowBlank="1" sqref="B94:B197">
      <formula1>"FGS-1,FGS-2,FGS-3,FGA-1,FGA-2,FGA-3"</formula1>
    </dataValidation>
    <dataValidation type="list" allowBlank="1" sqref="B7:B25">
      <formula1>"DAS,DAS-1,DAS-2,DAS-3,DAS-4,DAS-5,CAA-1,CAA-2,CAA-3,CAA-4,CAA-5"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9"/>
  <sheetViews>
    <sheetView zoomScale="85" zoomScaleNormal="85" workbookViewId="0">
      <selection activeCell="A5" sqref="A5:J5"/>
    </sheetView>
  </sheetViews>
  <sheetFormatPr defaultColWidth="12.625" defaultRowHeight="15" customHeight="1" x14ac:dyDescent="0.2"/>
  <cols>
    <col min="1" max="1" width="69.75" style="80" bestFit="1" customWidth="1"/>
    <col min="2" max="2" width="9.75" style="80" bestFit="1" customWidth="1"/>
    <col min="3" max="3" width="24" style="80" bestFit="1" customWidth="1"/>
    <col min="4" max="4" width="12.25" style="80" bestFit="1" customWidth="1"/>
    <col min="5" max="5" width="9.25" style="80" bestFit="1" customWidth="1"/>
    <col min="6" max="6" width="44.125" style="80" bestFit="1" customWidth="1"/>
    <col min="7" max="7" width="17.5" style="80" bestFit="1" customWidth="1"/>
    <col min="8" max="8" width="17.875" style="80" bestFit="1" customWidth="1"/>
    <col min="9" max="9" width="17.875" style="80" customWidth="1"/>
    <col min="10" max="10" width="11.75" style="80" bestFit="1" customWidth="1"/>
    <col min="11" max="16" width="8" style="80" customWidth="1"/>
    <col min="17" max="17" width="43.875" style="80" customWidth="1"/>
    <col min="18" max="30" width="8" style="80" customWidth="1"/>
    <col min="31" max="16384" width="12.625" style="80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503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2" t="s">
        <v>182</v>
      </c>
      <c r="B8" s="57" t="s">
        <v>41</v>
      </c>
      <c r="C8" s="57" t="s">
        <v>178</v>
      </c>
      <c r="D8" s="57" t="s">
        <v>183</v>
      </c>
      <c r="E8" s="46">
        <v>1</v>
      </c>
      <c r="F8" s="47" t="s">
        <v>183</v>
      </c>
      <c r="G8" s="44">
        <v>0</v>
      </c>
      <c r="H8" s="44">
        <v>0</v>
      </c>
      <c r="I8" s="44">
        <v>0</v>
      </c>
      <c r="J8" s="45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7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184</v>
      </c>
      <c r="B11" s="57" t="s">
        <v>43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185</v>
      </c>
      <c r="B12" s="57" t="s">
        <v>33</v>
      </c>
      <c r="C12" s="57" t="s">
        <v>178</v>
      </c>
      <c r="D12" s="57" t="s">
        <v>183</v>
      </c>
      <c r="E12" s="46">
        <v>1</v>
      </c>
      <c r="F12" s="47" t="s">
        <v>183</v>
      </c>
      <c r="G12" s="44">
        <v>0</v>
      </c>
      <c r="H12" s="44">
        <v>0</v>
      </c>
      <c r="I12" s="44">
        <v>0</v>
      </c>
      <c r="J12" s="45">
        <f t="shared" si="0"/>
        <v>0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186</v>
      </c>
      <c r="B13" s="57" t="s">
        <v>39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187</v>
      </c>
      <c r="B14" s="57" t="s">
        <v>37</v>
      </c>
      <c r="C14" s="57" t="s">
        <v>178</v>
      </c>
      <c r="D14" s="57" t="s">
        <v>188</v>
      </c>
      <c r="E14" s="46">
        <v>1</v>
      </c>
      <c r="F14" s="47" t="s">
        <v>213</v>
      </c>
      <c r="G14" s="44">
        <v>0</v>
      </c>
      <c r="H14" s="44">
        <v>0</v>
      </c>
      <c r="I14" s="44">
        <v>3083.01</v>
      </c>
      <c r="J14" s="45">
        <f t="shared" si="0"/>
        <v>3083.01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189</v>
      </c>
      <c r="B15" s="57" t="s">
        <v>39</v>
      </c>
      <c r="C15" s="57" t="s">
        <v>190</v>
      </c>
      <c r="D15" s="57" t="s">
        <v>183</v>
      </c>
      <c r="E15" s="46">
        <v>1</v>
      </c>
      <c r="F15" s="47" t="s">
        <v>183</v>
      </c>
      <c r="G15" s="44">
        <v>0</v>
      </c>
      <c r="H15" s="44">
        <v>0</v>
      </c>
      <c r="I15" s="44">
        <v>0</v>
      </c>
      <c r="J15" s="45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191</v>
      </c>
      <c r="B16" s="57" t="s">
        <v>25</v>
      </c>
      <c r="C16" s="57" t="s">
        <v>192</v>
      </c>
      <c r="D16" s="57" t="s">
        <v>181</v>
      </c>
      <c r="E16" s="46">
        <v>1</v>
      </c>
      <c r="F16" s="47" t="s">
        <v>214</v>
      </c>
      <c r="G16" s="44">
        <v>0</v>
      </c>
      <c r="H16" s="44">
        <v>0</v>
      </c>
      <c r="I16" s="44">
        <v>10400</v>
      </c>
      <c r="J16" s="45">
        <f t="shared" si="0"/>
        <v>10400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72" t="s">
        <v>499</v>
      </c>
      <c r="B17" s="57" t="s">
        <v>25</v>
      </c>
      <c r="C17" s="73" t="s">
        <v>178</v>
      </c>
      <c r="D17" s="73" t="s">
        <v>199</v>
      </c>
      <c r="E17" s="46">
        <v>1</v>
      </c>
      <c r="F17" s="72" t="s">
        <v>500</v>
      </c>
      <c r="G17" s="44">
        <v>0</v>
      </c>
      <c r="H17" s="44">
        <v>15956.74</v>
      </c>
      <c r="I17" s="44">
        <v>10053.33</v>
      </c>
      <c r="J17" s="45">
        <f t="shared" si="0"/>
        <v>26010.07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57" t="s">
        <v>188</v>
      </c>
      <c r="E19" s="46">
        <v>1</v>
      </c>
      <c r="F19" s="47" t="s">
        <v>486</v>
      </c>
      <c r="G19" s="44">
        <v>0</v>
      </c>
      <c r="H19" s="44">
        <v>0</v>
      </c>
      <c r="I19" s="44">
        <v>4316.21</v>
      </c>
      <c r="J19" s="45">
        <f t="shared" si="0"/>
        <v>4316.21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181</v>
      </c>
      <c r="E21" s="46">
        <v>1</v>
      </c>
      <c r="F21" s="72" t="s">
        <v>497</v>
      </c>
      <c r="G21" s="44">
        <v>0</v>
      </c>
      <c r="H21" s="44">
        <v>0</v>
      </c>
      <c r="I21" s="44">
        <v>3083.01</v>
      </c>
      <c r="J21" s="45">
        <f t="shared" si="0"/>
        <v>3083.01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181</v>
      </c>
      <c r="E22" s="46">
        <v>1</v>
      </c>
      <c r="F22" s="47" t="s">
        <v>498</v>
      </c>
      <c r="G22" s="44">
        <v>0</v>
      </c>
      <c r="H22" s="44">
        <v>0</v>
      </c>
      <c r="I22" s="44">
        <v>4316.21</v>
      </c>
      <c r="J22" s="45">
        <f t="shared" si="0"/>
        <v>4316.21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57" t="s">
        <v>199</v>
      </c>
      <c r="E23" s="46">
        <v>1</v>
      </c>
      <c r="F23" s="72" t="s">
        <v>489</v>
      </c>
      <c r="G23" s="44">
        <v>0</v>
      </c>
      <c r="H23" s="44">
        <v>1509.2</v>
      </c>
      <c r="I23" s="44">
        <v>3083.01</v>
      </c>
      <c r="J23" s="45">
        <f t="shared" si="0"/>
        <v>4592.21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188</v>
      </c>
      <c r="E26" s="46">
        <v>1</v>
      </c>
      <c r="F26" s="72" t="s">
        <v>501</v>
      </c>
      <c r="G26" s="44">
        <v>0</v>
      </c>
      <c r="H26" s="44">
        <v>1266.5999999999999</v>
      </c>
      <c r="I26" s="44">
        <v>5066.41</v>
      </c>
      <c r="J26" s="45">
        <f t="shared" si="0"/>
        <v>6333.01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2</v>
      </c>
      <c r="D29" s="28">
        <f>SUMIFS($E$7:$E$26,$B$7:$B$26,"DAS-1",$D$7:$D$26,"VAGO")</f>
        <v>0</v>
      </c>
      <c r="E29" s="28">
        <f t="shared" si="1"/>
        <v>2</v>
      </c>
      <c r="F29" s="32"/>
      <c r="G29" s="30">
        <f>SUMIF($B$7:$B$26,"DAS-1",$G$7:$G$26)</f>
        <v>0</v>
      </c>
      <c r="H29" s="30">
        <f>SUMIF($B$7:$B$26,"DAS-1",$H$7:$H$26)</f>
        <v>15956.74</v>
      </c>
      <c r="I29" s="30">
        <f>SUMIF($B$7:$B$26,"DAS-1",$I$7:$I$26)</f>
        <v>20453.330000000002</v>
      </c>
      <c r="J29" s="30">
        <f>SUMIF($B$7:$B$26,"DAS-1",$J$7:$J$26)</f>
        <v>36410.07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0</v>
      </c>
      <c r="D31" s="28">
        <f>SUMIFS($E$7:$E$26,$B$7:$B$26,"DAS-3",$D$7:$D$26,"VAGO")</f>
        <v>0</v>
      </c>
      <c r="E31" s="28">
        <f t="shared" si="1"/>
        <v>0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0</v>
      </c>
      <c r="J31" s="30">
        <f>SUMIF($B$7:$B$26,"DAS-3",$J$7:$J$26)</f>
        <v>0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1</v>
      </c>
      <c r="D32" s="28">
        <f>SUMIFS($E$7:$E$26,$B$7:$B$26,"DAS-4",$D$7:$D$26,"VAGO")</f>
        <v>0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1266.5999999999999</v>
      </c>
      <c r="I32" s="30">
        <f>SUMIF($B$7:$B$26,"DAS-4",$I$7:$I$26)</f>
        <v>5066.41</v>
      </c>
      <c r="J32" s="30">
        <f>SUMIF($B$7:$B$26,"DAS-4",$J$7:$J$26)</f>
        <v>6333.01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4</v>
      </c>
      <c r="D33" s="28">
        <f>SUMIFS($E$7:$E$26,$B$7:$B$26,"DAS-5",$D$7:$D$26,"VAGO")</f>
        <v>1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1109.1600000000001</v>
      </c>
      <c r="I33" s="30">
        <f>SUMIF($B$7:$B$26,"DAS-5",$I$7:$I$26)</f>
        <v>17264.84</v>
      </c>
      <c r="J33" s="30">
        <f>SUMIF($B$7:$B$26,"DAS-5",$J$7:$J$26)</f>
        <v>18374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4</v>
      </c>
      <c r="D35" s="28">
        <f>SUMIFS($E$7:$E$26,$B$7:$B$26,"CAA-2",$D$7:$D$26,"VAGO")</f>
        <v>1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26441.64</v>
      </c>
      <c r="I35" s="30">
        <f>SUMIF($B$7:$B$26,"CAA-2",$I$7:$I$26)</f>
        <v>12332.04</v>
      </c>
      <c r="J35" s="30">
        <f>SUMIF($B$7:$B$26,"CAA-2",$J$7:$J$26)</f>
        <v>38773.679999999993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12</v>
      </c>
      <c r="D39" s="35">
        <f>SUM(D28:D38)</f>
        <v>8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44774.14</v>
      </c>
      <c r="I39" s="36">
        <f t="shared" si="2"/>
        <v>55116.62</v>
      </c>
      <c r="J39" s="36">
        <f t="shared" si="2"/>
        <v>117890.76</v>
      </c>
      <c r="K39" s="37"/>
      <c r="L39" s="37"/>
      <c r="M39" s="37"/>
      <c r="N39" s="37"/>
      <c r="O39" s="37"/>
      <c r="P39" s="37"/>
      <c r="Q39" s="37"/>
    </row>
    <row r="40" spans="1:30" ht="45.75" customHeight="1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4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180</v>
      </c>
      <c r="B44" s="42" t="s">
        <v>66</v>
      </c>
      <c r="C44" s="57" t="s">
        <v>178</v>
      </c>
      <c r="D44" s="57" t="s">
        <v>181</v>
      </c>
      <c r="E44" s="46">
        <v>1</v>
      </c>
      <c r="F44" s="72" t="s">
        <v>306</v>
      </c>
      <c r="G44" s="44">
        <v>0</v>
      </c>
      <c r="H44" s="44">
        <v>5688.14</v>
      </c>
      <c r="I44" s="45">
        <f t="shared" si="3"/>
        <v>5688.14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72" t="s">
        <v>222</v>
      </c>
      <c r="B45" s="42" t="s">
        <v>68</v>
      </c>
      <c r="C45" s="57" t="s">
        <v>223</v>
      </c>
      <c r="D45" s="57" t="s">
        <v>199</v>
      </c>
      <c r="E45" s="46">
        <v>1</v>
      </c>
      <c r="F45" s="43" t="s">
        <v>301</v>
      </c>
      <c r="G45" s="44">
        <v>16704.73</v>
      </c>
      <c r="H45" s="44">
        <v>5241.1099999999997</v>
      </c>
      <c r="I45" s="45">
        <f t="shared" si="3"/>
        <v>21945.84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224</v>
      </c>
      <c r="B46" s="42" t="s">
        <v>72</v>
      </c>
      <c r="C46" s="57" t="s">
        <v>225</v>
      </c>
      <c r="D46" s="57" t="s">
        <v>181</v>
      </c>
      <c r="E46" s="46">
        <v>1</v>
      </c>
      <c r="F46" s="47" t="s">
        <v>302</v>
      </c>
      <c r="G46" s="44">
        <v>0</v>
      </c>
      <c r="H46" s="44">
        <v>3083.01</v>
      </c>
      <c r="I46" s="45">
        <f t="shared" si="3"/>
        <v>3083.01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226</v>
      </c>
      <c r="B47" s="42" t="s">
        <v>66</v>
      </c>
      <c r="C47" s="57" t="s">
        <v>227</v>
      </c>
      <c r="D47" s="57" t="s">
        <v>181</v>
      </c>
      <c r="E47" s="46">
        <v>1</v>
      </c>
      <c r="F47" s="47" t="s">
        <v>303</v>
      </c>
      <c r="G47" s="44">
        <v>0</v>
      </c>
      <c r="H47" s="44">
        <v>5703.56</v>
      </c>
      <c r="I47" s="45">
        <f t="shared" si="3"/>
        <v>5703.56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228</v>
      </c>
      <c r="B48" s="42" t="s">
        <v>72</v>
      </c>
      <c r="C48" s="57" t="s">
        <v>229</v>
      </c>
      <c r="D48" s="57" t="s">
        <v>181</v>
      </c>
      <c r="E48" s="46">
        <v>1</v>
      </c>
      <c r="F48" s="47" t="s">
        <v>304</v>
      </c>
      <c r="G48" s="44">
        <v>0</v>
      </c>
      <c r="H48" s="44">
        <v>3083.01</v>
      </c>
      <c r="I48" s="45">
        <f t="shared" si="3"/>
        <v>3083.01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230</v>
      </c>
      <c r="B49" s="42" t="s">
        <v>68</v>
      </c>
      <c r="C49" s="57" t="s">
        <v>231</v>
      </c>
      <c r="D49" s="57" t="s">
        <v>199</v>
      </c>
      <c r="E49" s="46">
        <v>1</v>
      </c>
      <c r="F49" s="47" t="s">
        <v>305</v>
      </c>
      <c r="G49" s="44">
        <v>16704.73</v>
      </c>
      <c r="H49" s="44">
        <v>5241.1099999999997</v>
      </c>
      <c r="I49" s="45">
        <f t="shared" si="3"/>
        <v>21945.84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232</v>
      </c>
      <c r="B50" s="42" t="s">
        <v>68</v>
      </c>
      <c r="C50" s="57" t="s">
        <v>233</v>
      </c>
      <c r="D50" s="73" t="s">
        <v>183</v>
      </c>
      <c r="E50" s="46">
        <v>1</v>
      </c>
      <c r="F50" s="72" t="s">
        <v>183</v>
      </c>
      <c r="G50" s="44">
        <v>0</v>
      </c>
      <c r="H50" s="44">
        <v>0</v>
      </c>
      <c r="I50" s="45">
        <f t="shared" si="3"/>
        <v>0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234</v>
      </c>
      <c r="B51" s="42" t="s">
        <v>68</v>
      </c>
      <c r="C51" s="57" t="s">
        <v>223</v>
      </c>
      <c r="D51" s="57" t="s">
        <v>183</v>
      </c>
      <c r="E51" s="46">
        <v>1</v>
      </c>
      <c r="F51" s="76" t="s">
        <v>183</v>
      </c>
      <c r="G51" s="44">
        <v>0</v>
      </c>
      <c r="H51" s="44">
        <v>0</v>
      </c>
      <c r="I51" s="45">
        <f t="shared" si="3"/>
        <v>0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235</v>
      </c>
      <c r="B52" s="42" t="s">
        <v>66</v>
      </c>
      <c r="C52" s="57" t="s">
        <v>236</v>
      </c>
      <c r="D52" s="57" t="s">
        <v>181</v>
      </c>
      <c r="E52" s="46">
        <v>1</v>
      </c>
      <c r="F52" s="47" t="s">
        <v>308</v>
      </c>
      <c r="G52" s="44">
        <v>0</v>
      </c>
      <c r="H52" s="44">
        <v>5703.56</v>
      </c>
      <c r="I52" s="45">
        <f t="shared" si="3"/>
        <v>5703.56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237</v>
      </c>
      <c r="B53" s="42" t="s">
        <v>72</v>
      </c>
      <c r="C53" s="57" t="s">
        <v>238</v>
      </c>
      <c r="D53" s="57" t="s">
        <v>181</v>
      </c>
      <c r="E53" s="46">
        <v>1</v>
      </c>
      <c r="F53" s="47" t="s">
        <v>309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239</v>
      </c>
      <c r="B54" s="42" t="s">
        <v>72</v>
      </c>
      <c r="C54" s="57" t="s">
        <v>240</v>
      </c>
      <c r="D54" s="57" t="s">
        <v>181</v>
      </c>
      <c r="E54" s="46">
        <v>1</v>
      </c>
      <c r="F54" s="47" t="s">
        <v>310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241</v>
      </c>
      <c r="B55" s="42" t="s">
        <v>72</v>
      </c>
      <c r="C55" s="57" t="s">
        <v>242</v>
      </c>
      <c r="D55" s="57" t="s">
        <v>181</v>
      </c>
      <c r="E55" s="46">
        <v>1</v>
      </c>
      <c r="F55" s="47" t="s">
        <v>311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243</v>
      </c>
      <c r="B56" s="42" t="s">
        <v>72</v>
      </c>
      <c r="C56" s="57" t="s">
        <v>244</v>
      </c>
      <c r="D56" s="57" t="s">
        <v>181</v>
      </c>
      <c r="E56" s="46">
        <v>1</v>
      </c>
      <c r="F56" s="47" t="s">
        <v>312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245</v>
      </c>
      <c r="B57" s="42" t="s">
        <v>72</v>
      </c>
      <c r="C57" s="57" t="s">
        <v>246</v>
      </c>
      <c r="D57" s="57" t="s">
        <v>181</v>
      </c>
      <c r="E57" s="46">
        <v>1</v>
      </c>
      <c r="F57" s="47" t="s">
        <v>313</v>
      </c>
      <c r="G57" s="44">
        <v>0</v>
      </c>
      <c r="H57" s="44">
        <v>3083.01</v>
      </c>
      <c r="I57" s="45">
        <f t="shared" si="3"/>
        <v>3083.01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247</v>
      </c>
      <c r="B58" s="42" t="s">
        <v>66</v>
      </c>
      <c r="C58" s="57" t="s">
        <v>248</v>
      </c>
      <c r="D58" s="57" t="s">
        <v>181</v>
      </c>
      <c r="E58" s="46">
        <v>1</v>
      </c>
      <c r="F58" s="76" t="s">
        <v>317</v>
      </c>
      <c r="G58" s="44">
        <v>0</v>
      </c>
      <c r="H58" s="44">
        <v>5703.56</v>
      </c>
      <c r="I58" s="45">
        <f t="shared" si="3"/>
        <v>5703.56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249</v>
      </c>
      <c r="B59" s="42" t="s">
        <v>72</v>
      </c>
      <c r="C59" s="57" t="s">
        <v>250</v>
      </c>
      <c r="D59" s="57" t="s">
        <v>181</v>
      </c>
      <c r="E59" s="46">
        <v>1</v>
      </c>
      <c r="F59" s="47" t="s">
        <v>315</v>
      </c>
      <c r="G59" s="44">
        <v>0</v>
      </c>
      <c r="H59" s="44">
        <v>3083.01</v>
      </c>
      <c r="I59" s="45">
        <f t="shared" si="3"/>
        <v>3083.01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251</v>
      </c>
      <c r="B60" s="42" t="s">
        <v>72</v>
      </c>
      <c r="C60" s="57" t="s">
        <v>252</v>
      </c>
      <c r="D60" s="57" t="s">
        <v>199</v>
      </c>
      <c r="E60" s="46">
        <v>1</v>
      </c>
      <c r="F60" s="47" t="s">
        <v>316</v>
      </c>
      <c r="G60" s="44">
        <v>831.26</v>
      </c>
      <c r="H60" s="44">
        <v>3083.01</v>
      </c>
      <c r="I60" s="45">
        <f t="shared" si="3"/>
        <v>3914.2700000000004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253</v>
      </c>
      <c r="B61" s="42" t="s">
        <v>70</v>
      </c>
      <c r="C61" s="57" t="s">
        <v>254</v>
      </c>
      <c r="D61" s="77" t="s">
        <v>181</v>
      </c>
      <c r="E61" s="46">
        <v>1</v>
      </c>
      <c r="F61" s="76" t="s">
        <v>217</v>
      </c>
      <c r="G61" s="44">
        <v>0</v>
      </c>
      <c r="H61" s="44">
        <v>4316.21</v>
      </c>
      <c r="I61" s="45">
        <f t="shared" si="3"/>
        <v>4316.21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255</v>
      </c>
      <c r="B62" s="42" t="s">
        <v>72</v>
      </c>
      <c r="C62" s="57" t="s">
        <v>256</v>
      </c>
      <c r="D62" s="57" t="s">
        <v>181</v>
      </c>
      <c r="E62" s="46">
        <v>1</v>
      </c>
      <c r="F62" s="47" t="s">
        <v>318</v>
      </c>
      <c r="G62" s="44">
        <v>0</v>
      </c>
      <c r="H62" s="44">
        <v>3083.01</v>
      </c>
      <c r="I62" s="45">
        <f t="shared" si="3"/>
        <v>3083.01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257</v>
      </c>
      <c r="B63" s="42" t="s">
        <v>72</v>
      </c>
      <c r="C63" s="57" t="s">
        <v>258</v>
      </c>
      <c r="D63" s="57" t="s">
        <v>181</v>
      </c>
      <c r="E63" s="46">
        <v>1</v>
      </c>
      <c r="F63" s="47" t="s">
        <v>319</v>
      </c>
      <c r="G63" s="44">
        <v>0</v>
      </c>
      <c r="H63" s="44">
        <v>3083.01</v>
      </c>
      <c r="I63" s="45">
        <f t="shared" si="3"/>
        <v>3083.01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259</v>
      </c>
      <c r="B64" s="42" t="s">
        <v>66</v>
      </c>
      <c r="C64" s="57" t="s">
        <v>260</v>
      </c>
      <c r="D64" s="57" t="s">
        <v>181</v>
      </c>
      <c r="E64" s="46">
        <v>1</v>
      </c>
      <c r="F64" s="47" t="s">
        <v>320</v>
      </c>
      <c r="G64" s="44">
        <v>0</v>
      </c>
      <c r="H64" s="44">
        <v>5703.56</v>
      </c>
      <c r="I64" s="45">
        <f t="shared" si="3"/>
        <v>5703.56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261</v>
      </c>
      <c r="B65" s="42" t="s">
        <v>72</v>
      </c>
      <c r="C65" s="57" t="s">
        <v>262</v>
      </c>
      <c r="D65" s="57" t="s">
        <v>181</v>
      </c>
      <c r="E65" s="46">
        <v>1</v>
      </c>
      <c r="F65" s="47" t="s">
        <v>321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263</v>
      </c>
      <c r="B66" s="42" t="s">
        <v>72</v>
      </c>
      <c r="C66" s="57" t="s">
        <v>264</v>
      </c>
      <c r="D66" s="57" t="s">
        <v>181</v>
      </c>
      <c r="E66" s="46">
        <v>1</v>
      </c>
      <c r="F66" s="47" t="s">
        <v>322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265</v>
      </c>
      <c r="B67" s="42" t="s">
        <v>72</v>
      </c>
      <c r="C67" s="57" t="s">
        <v>266</v>
      </c>
      <c r="D67" s="57" t="s">
        <v>181</v>
      </c>
      <c r="E67" s="46">
        <v>1</v>
      </c>
      <c r="F67" s="47" t="s">
        <v>323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267</v>
      </c>
      <c r="B68" s="42" t="s">
        <v>72</v>
      </c>
      <c r="C68" s="57" t="s">
        <v>268</v>
      </c>
      <c r="D68" s="57" t="s">
        <v>181</v>
      </c>
      <c r="E68" s="46">
        <v>1</v>
      </c>
      <c r="F68" s="47" t="s">
        <v>324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269</v>
      </c>
      <c r="B69" s="42" t="s">
        <v>72</v>
      </c>
      <c r="C69" s="57" t="s">
        <v>270</v>
      </c>
      <c r="D69" s="57" t="s">
        <v>181</v>
      </c>
      <c r="E69" s="46">
        <v>1</v>
      </c>
      <c r="F69" s="47" t="s">
        <v>325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271</v>
      </c>
      <c r="B70" s="42" t="s">
        <v>72</v>
      </c>
      <c r="C70" s="57" t="s">
        <v>272</v>
      </c>
      <c r="D70" s="57" t="s">
        <v>181</v>
      </c>
      <c r="E70" s="46">
        <v>1</v>
      </c>
      <c r="F70" s="47" t="s">
        <v>326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273</v>
      </c>
      <c r="B71" s="42" t="s">
        <v>72</v>
      </c>
      <c r="C71" s="57" t="s">
        <v>274</v>
      </c>
      <c r="D71" s="57" t="s">
        <v>181</v>
      </c>
      <c r="E71" s="46">
        <v>1</v>
      </c>
      <c r="F71" s="47" t="s">
        <v>327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275</v>
      </c>
      <c r="B72" s="42" t="s">
        <v>72</v>
      </c>
      <c r="C72" s="57" t="s">
        <v>260</v>
      </c>
      <c r="D72" s="57" t="s">
        <v>181</v>
      </c>
      <c r="E72" s="46">
        <v>1</v>
      </c>
      <c r="F72" s="47" t="s">
        <v>328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276</v>
      </c>
      <c r="B73" s="42" t="s">
        <v>72</v>
      </c>
      <c r="C73" s="57" t="s">
        <v>277</v>
      </c>
      <c r="D73" s="57" t="s">
        <v>181</v>
      </c>
      <c r="E73" s="46">
        <v>1</v>
      </c>
      <c r="F73" s="47" t="s">
        <v>329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278</v>
      </c>
      <c r="B74" s="42" t="s">
        <v>72</v>
      </c>
      <c r="C74" s="57" t="s">
        <v>279</v>
      </c>
      <c r="D74" s="57" t="s">
        <v>181</v>
      </c>
      <c r="E74" s="46">
        <v>1</v>
      </c>
      <c r="F74" s="47" t="s">
        <v>330</v>
      </c>
      <c r="G74" s="44">
        <v>0</v>
      </c>
      <c r="H74" s="44">
        <v>3083.01</v>
      </c>
      <c r="I74" s="45">
        <f t="shared" si="3"/>
        <v>3083.01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280</v>
      </c>
      <c r="B75" s="42" t="s">
        <v>66</v>
      </c>
      <c r="C75" s="57" t="s">
        <v>281</v>
      </c>
      <c r="D75" s="57" t="s">
        <v>181</v>
      </c>
      <c r="E75" s="46">
        <v>1</v>
      </c>
      <c r="F75" s="47" t="s">
        <v>331</v>
      </c>
      <c r="G75" s="44">
        <v>0</v>
      </c>
      <c r="H75" s="44">
        <v>5703.56</v>
      </c>
      <c r="I75" s="45">
        <f t="shared" si="3"/>
        <v>5703.56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282</v>
      </c>
      <c r="B76" s="42" t="s">
        <v>72</v>
      </c>
      <c r="C76" s="57" t="s">
        <v>283</v>
      </c>
      <c r="D76" s="57" t="s">
        <v>181</v>
      </c>
      <c r="E76" s="46">
        <v>1</v>
      </c>
      <c r="F76" s="47" t="s">
        <v>332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284</v>
      </c>
      <c r="B77" s="42" t="s">
        <v>72</v>
      </c>
      <c r="C77" s="57" t="s">
        <v>285</v>
      </c>
      <c r="D77" s="57" t="s">
        <v>181</v>
      </c>
      <c r="E77" s="46">
        <v>1</v>
      </c>
      <c r="F77" s="47" t="s">
        <v>333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286</v>
      </c>
      <c r="B78" s="42" t="s">
        <v>72</v>
      </c>
      <c r="C78" s="57" t="s">
        <v>287</v>
      </c>
      <c r="D78" s="57" t="s">
        <v>181</v>
      </c>
      <c r="E78" s="46">
        <v>1</v>
      </c>
      <c r="F78" s="47" t="s">
        <v>334</v>
      </c>
      <c r="G78" s="44">
        <v>0</v>
      </c>
      <c r="H78" s="44">
        <v>3083.01</v>
      </c>
      <c r="I78" s="45">
        <f t="shared" si="3"/>
        <v>3083.01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288</v>
      </c>
      <c r="B79" s="42" t="s">
        <v>70</v>
      </c>
      <c r="C79" s="57" t="s">
        <v>289</v>
      </c>
      <c r="D79" s="57" t="s">
        <v>181</v>
      </c>
      <c r="E79" s="46">
        <v>1</v>
      </c>
      <c r="F79" s="47" t="s">
        <v>335</v>
      </c>
      <c r="G79" s="44">
        <v>0</v>
      </c>
      <c r="H79" s="44">
        <v>4316.21</v>
      </c>
      <c r="I79" s="45">
        <f t="shared" si="3"/>
        <v>4316.21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290</v>
      </c>
      <c r="B80" s="42" t="s">
        <v>66</v>
      </c>
      <c r="C80" s="57" t="s">
        <v>291</v>
      </c>
      <c r="D80" s="57" t="s">
        <v>181</v>
      </c>
      <c r="E80" s="46">
        <v>1</v>
      </c>
      <c r="F80" s="47" t="s">
        <v>336</v>
      </c>
      <c r="G80" s="44">
        <v>0</v>
      </c>
      <c r="H80" s="44">
        <v>5703.56</v>
      </c>
      <c r="I80" s="45">
        <f t="shared" si="3"/>
        <v>5703.56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292</v>
      </c>
      <c r="B81" s="42" t="s">
        <v>72</v>
      </c>
      <c r="C81" s="57" t="s">
        <v>293</v>
      </c>
      <c r="D81" s="57" t="s">
        <v>199</v>
      </c>
      <c r="E81" s="46">
        <v>1</v>
      </c>
      <c r="F81" s="47" t="s">
        <v>337</v>
      </c>
      <c r="G81" s="44">
        <v>1509.2</v>
      </c>
      <c r="H81" s="44">
        <v>3083.01</v>
      </c>
      <c r="I81" s="45">
        <f t="shared" si="3"/>
        <v>4592.21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294</v>
      </c>
      <c r="B82" s="42" t="s">
        <v>72</v>
      </c>
      <c r="C82" s="57" t="s">
        <v>295</v>
      </c>
      <c r="D82" s="73" t="s">
        <v>199</v>
      </c>
      <c r="E82" s="46">
        <v>1</v>
      </c>
      <c r="F82" s="47" t="s">
        <v>412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296</v>
      </c>
      <c r="B83" s="42" t="s">
        <v>72</v>
      </c>
      <c r="C83" s="57" t="s">
        <v>297</v>
      </c>
      <c r="D83" s="57" t="s">
        <v>199</v>
      </c>
      <c r="E83" s="46">
        <v>1</v>
      </c>
      <c r="F83" s="47" t="s">
        <v>338</v>
      </c>
      <c r="G83" s="44">
        <v>1509.2</v>
      </c>
      <c r="H83" s="44">
        <v>3083.01</v>
      </c>
      <c r="I83" s="45">
        <f t="shared" si="3"/>
        <v>4592.21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x14ac:dyDescent="0.2">
      <c r="A84" s="47" t="s">
        <v>298</v>
      </c>
      <c r="B84" s="42" t="s">
        <v>68</v>
      </c>
      <c r="C84" s="57" t="s">
        <v>299</v>
      </c>
      <c r="D84" s="57" t="s">
        <v>181</v>
      </c>
      <c r="E84" s="46">
        <v>1</v>
      </c>
      <c r="F84" s="47" t="s">
        <v>339</v>
      </c>
      <c r="G84" s="44">
        <v>0</v>
      </c>
      <c r="H84" s="44">
        <v>5241.1099999999997</v>
      </c>
      <c r="I84" s="45">
        <f t="shared" si="3"/>
        <v>5241.1099999999997</v>
      </c>
      <c r="J84" s="37"/>
      <c r="K84" s="21"/>
      <c r="L84" s="21"/>
      <c r="M84" s="21"/>
      <c r="N84" s="21"/>
      <c r="O84" s="21"/>
      <c r="P84" s="21"/>
      <c r="Q84" s="21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45" x14ac:dyDescent="0.2">
      <c r="A85" s="63" t="s">
        <v>55</v>
      </c>
      <c r="B85" s="63" t="s">
        <v>56</v>
      </c>
      <c r="C85" s="35" t="s">
        <v>57</v>
      </c>
      <c r="D85" s="35" t="s">
        <v>58</v>
      </c>
      <c r="E85" s="35" t="s">
        <v>59</v>
      </c>
      <c r="F85" s="48"/>
      <c r="G85" s="35" t="s">
        <v>60</v>
      </c>
      <c r="H85" s="35" t="s">
        <v>61</v>
      </c>
      <c r="I85" s="35" t="s">
        <v>62</v>
      </c>
      <c r="J85" s="37"/>
      <c r="K85" s="7"/>
      <c r="L85" s="7"/>
      <c r="M85" s="7"/>
      <c r="N85" s="7"/>
      <c r="O85" s="7"/>
      <c r="P85" s="7"/>
      <c r="Q85" s="7"/>
      <c r="R85" s="4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x14ac:dyDescent="0.2">
      <c r="A86" s="58" t="s">
        <v>63</v>
      </c>
      <c r="B86" s="59" t="s">
        <v>64</v>
      </c>
      <c r="C86" s="28">
        <f>SUMIFS($E$43:$E$84,$B$43:$B$84,"FDA",$D$43:$D$84,"&lt;&gt;VAGO")</f>
        <v>0</v>
      </c>
      <c r="D86" s="28">
        <f>SUMIFS($E$43:$E$84,$B$43:$B$84,"FDA",$D$43:$D$84,"VAGO")</f>
        <v>0</v>
      </c>
      <c r="E86" s="28">
        <f t="shared" ref="E86:E90" si="4">C86+D86</f>
        <v>0</v>
      </c>
      <c r="F86" s="29"/>
      <c r="G86" s="45">
        <f>SUMIF($B$43:$B$84,"FDA",$G$43:$G$84)</f>
        <v>0</v>
      </c>
      <c r="H86" s="45">
        <f>SUMIF($B$43:$B$84,"FDA",$H$43:$H$84)</f>
        <v>0</v>
      </c>
      <c r="I86" s="45">
        <f>SUMIF($B$43:$B$84,"FDA",$I$43:$I$84)</f>
        <v>0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65</v>
      </c>
      <c r="B87" s="59" t="s">
        <v>66</v>
      </c>
      <c r="C87" s="28">
        <f>SUMIFS($E$43:$E$84,$B$43:$B$84,"FDA-1",$D$43:$D$84,"&lt;&gt;VAGO")</f>
        <v>7</v>
      </c>
      <c r="D87" s="28">
        <f>SUMIFS($E$43:$E$84,$B$43:$B$84,"FDA-1",$D$43:$D$84,"VAGO")</f>
        <v>0</v>
      </c>
      <c r="E87" s="28">
        <f t="shared" si="4"/>
        <v>7</v>
      </c>
      <c r="F87" s="29"/>
      <c r="G87" s="45">
        <f>SUMIF($B$43:$B$84,"FDA-1",$G$43:$G$84)</f>
        <v>0</v>
      </c>
      <c r="H87" s="45">
        <f>SUMIF($B$43:$B$84,"FDA-1",$H$43:$H$84)</f>
        <v>39909.5</v>
      </c>
      <c r="I87" s="45">
        <f>SUMIF($B$43:$B$84,"FDA-1",$I$43:$I$84)</f>
        <v>39909.5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67</v>
      </c>
      <c r="B88" s="59" t="s">
        <v>68</v>
      </c>
      <c r="C88" s="28">
        <f>SUMIFS($E$43:$E$84,$B$43:$B$84,"FDA-2",$D$43:$D$84,"&lt;&gt;VAGO")</f>
        <v>4</v>
      </c>
      <c r="D88" s="28">
        <f>SUMIFS($E$43:$E$84,$B$43:$B$84,"FDA-2",$D$43:$D$84,"VAGO")</f>
        <v>2</v>
      </c>
      <c r="E88" s="28">
        <f t="shared" si="4"/>
        <v>6</v>
      </c>
      <c r="F88" s="32"/>
      <c r="G88" s="45">
        <f>SUMIF($B$43:$B$84,"FDA-2",$G$43:$G$84)</f>
        <v>33409.46</v>
      </c>
      <c r="H88" s="45">
        <f>SUMIF($B$43:$B$84,"FDA-2",$H$43:$H$84)</f>
        <v>20964.439999999999</v>
      </c>
      <c r="I88" s="45">
        <f>SUMIF($B$43:$B$84,"FDA-2",$I$43:$I$84)</f>
        <v>54373.9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69</v>
      </c>
      <c r="B89" s="59" t="s">
        <v>70</v>
      </c>
      <c r="C89" s="28">
        <f>SUMIFS($E$43:$E$84,$B$43:$B$84,"FDA-3",$D$43:$D$84,"&lt;&gt;VAGO")</f>
        <v>2</v>
      </c>
      <c r="D89" s="28">
        <f>SUMIFS($E$43:$E$84,$B$43:$B$84,"FDA-3",$D$43:$D$84,"VAGO")</f>
        <v>0</v>
      </c>
      <c r="E89" s="28">
        <f t="shared" si="4"/>
        <v>2</v>
      </c>
      <c r="F89" s="34"/>
      <c r="G89" s="45">
        <f>SUMIF($B$43:$B$84,"FDA-3",$G$43:$G$84)</f>
        <v>0</v>
      </c>
      <c r="H89" s="45">
        <f>SUMIF($B$43:$B$84,"FDA-3",$H$43:$H$84)</f>
        <v>8632.42</v>
      </c>
      <c r="I89" s="45">
        <f>SUMIF($B$43:$B$84,"FDA-3",$I$43:$I$84)</f>
        <v>8632.42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x14ac:dyDescent="0.2">
      <c r="A90" s="58" t="s">
        <v>71</v>
      </c>
      <c r="B90" s="59" t="s">
        <v>72</v>
      </c>
      <c r="C90" s="28">
        <f>SUMIFS($E$43:$E$84,$B$43:$B$84,"FDA-4",$D$43:$D$84,"&lt;&gt;VAGO")</f>
        <v>27</v>
      </c>
      <c r="D90" s="28">
        <f>SUMIFS($E$43:$E$84,$B$43:$B$84,"FDA-4",$D$43:$D$84,"VAGO")</f>
        <v>0</v>
      </c>
      <c r="E90" s="28">
        <f t="shared" si="4"/>
        <v>27</v>
      </c>
      <c r="F90" s="32"/>
      <c r="G90" s="45">
        <f>SUMIF($B$43:$B$84,"FDA-4",$G$43:$G$84)</f>
        <v>5358.86</v>
      </c>
      <c r="H90" s="45">
        <f>SUMIF($B$43:$B$84,"FDA-4",$H$43:$H$84)</f>
        <v>83241.27</v>
      </c>
      <c r="I90" s="45">
        <f>SUMIF($B$43:$B$84,"FDA-4",$I$43:$I$84)</f>
        <v>88600.130000000019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30" x14ac:dyDescent="0.2">
      <c r="A91" s="63" t="s">
        <v>73</v>
      </c>
      <c r="B91" s="48"/>
      <c r="C91" s="35">
        <f t="shared" ref="C91:E91" si="5">SUM(C87:C90)</f>
        <v>40</v>
      </c>
      <c r="D91" s="35">
        <f t="shared" si="5"/>
        <v>2</v>
      </c>
      <c r="E91" s="35">
        <f t="shared" si="5"/>
        <v>42</v>
      </c>
      <c r="F91" s="48"/>
      <c r="G91" s="51">
        <f t="shared" ref="G91:I91" si="6">SUM(G86:G90)</f>
        <v>38768.32</v>
      </c>
      <c r="H91" s="51">
        <f t="shared" si="6"/>
        <v>152747.63</v>
      </c>
      <c r="I91" s="51">
        <f t="shared" si="6"/>
        <v>191515.95</v>
      </c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45" customHeight="1" x14ac:dyDescent="0.2">
      <c r="A92" s="38"/>
      <c r="B92" s="38"/>
      <c r="C92" s="38"/>
      <c r="D92" s="38"/>
      <c r="E92" s="38"/>
      <c r="F92" s="38"/>
      <c r="G92" s="38"/>
      <c r="H92" s="38"/>
      <c r="I92" s="7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x14ac:dyDescent="0.2">
      <c r="A93" s="99" t="s">
        <v>74</v>
      </c>
      <c r="B93" s="93"/>
      <c r="C93" s="93"/>
      <c r="D93" s="93"/>
      <c r="E93" s="93"/>
      <c r="F93" s="93"/>
      <c r="G93" s="93"/>
      <c r="H93" s="93"/>
      <c r="I93" s="94"/>
      <c r="J93" s="21"/>
      <c r="K93" s="7"/>
      <c r="L93" s="21"/>
      <c r="M93" s="21"/>
      <c r="N93" s="21"/>
      <c r="O93" s="21"/>
      <c r="P93" s="21"/>
      <c r="Q93" s="2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30" x14ac:dyDescent="0.2">
      <c r="A94" s="52" t="s">
        <v>75</v>
      </c>
      <c r="B94" s="10" t="s">
        <v>76</v>
      </c>
      <c r="C94" s="10" t="s">
        <v>77</v>
      </c>
      <c r="D94" s="10" t="s">
        <v>78</v>
      </c>
      <c r="E94" s="10" t="s">
        <v>79</v>
      </c>
      <c r="F94" s="10" t="s">
        <v>80</v>
      </c>
      <c r="G94" s="10" t="s">
        <v>81</v>
      </c>
      <c r="H94" s="10" t="s">
        <v>82</v>
      </c>
      <c r="I94" s="10" t="s">
        <v>83</v>
      </c>
      <c r="J94" s="7"/>
      <c r="K94" s="7"/>
      <c r="L94" s="7"/>
      <c r="M94" s="7"/>
      <c r="N94" s="7"/>
      <c r="O94" s="7"/>
      <c r="P94" s="7"/>
      <c r="Q94" s="7"/>
      <c r="R94" s="40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">
      <c r="A95" s="56" t="s">
        <v>340</v>
      </c>
      <c r="B95" s="55" t="s">
        <v>93</v>
      </c>
      <c r="C95" s="55" t="s">
        <v>178</v>
      </c>
      <c r="D95" s="57" t="s">
        <v>181</v>
      </c>
      <c r="E95" s="46">
        <v>1</v>
      </c>
      <c r="F95" s="56" t="s">
        <v>374</v>
      </c>
      <c r="G95" s="44">
        <v>0</v>
      </c>
      <c r="H95" s="44">
        <v>1392.8</v>
      </c>
      <c r="I95" s="45">
        <f t="shared" ref="I95:I198" si="7">SUM(G95:H95)</f>
        <v>1392.8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341</v>
      </c>
      <c r="B96" s="55" t="s">
        <v>342</v>
      </c>
      <c r="C96" s="57" t="s">
        <v>178</v>
      </c>
      <c r="D96" s="57" t="s">
        <v>199</v>
      </c>
      <c r="E96" s="46">
        <v>1</v>
      </c>
      <c r="F96" s="47" t="s">
        <v>375</v>
      </c>
      <c r="G96" s="44">
        <v>831.13</v>
      </c>
      <c r="H96" s="44">
        <v>849.76</v>
      </c>
      <c r="I96" s="45">
        <f t="shared" si="7"/>
        <v>1680.8899999999999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343</v>
      </c>
      <c r="B97" s="55" t="s">
        <v>101</v>
      </c>
      <c r="C97" s="57" t="s">
        <v>178</v>
      </c>
      <c r="D97" s="57" t="s">
        <v>199</v>
      </c>
      <c r="E97" s="46">
        <v>1</v>
      </c>
      <c r="F97" s="43" t="s">
        <v>376</v>
      </c>
      <c r="G97" s="44">
        <v>831.26</v>
      </c>
      <c r="H97" s="44">
        <v>465.35</v>
      </c>
      <c r="I97" s="45">
        <f t="shared" si="7"/>
        <v>1296.6100000000001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340</v>
      </c>
      <c r="B98" s="55" t="s">
        <v>93</v>
      </c>
      <c r="C98" s="57" t="s">
        <v>223</v>
      </c>
      <c r="D98" s="57" t="s">
        <v>199</v>
      </c>
      <c r="E98" s="46">
        <v>1</v>
      </c>
      <c r="F98" s="43" t="s">
        <v>377</v>
      </c>
      <c r="G98" s="44">
        <v>844.27</v>
      </c>
      <c r="H98" s="44">
        <v>1392.8</v>
      </c>
      <c r="I98" s="45">
        <f t="shared" si="7"/>
        <v>2237.0699999999997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344</v>
      </c>
      <c r="B99" s="55" t="s">
        <v>345</v>
      </c>
      <c r="C99" s="57" t="s">
        <v>223</v>
      </c>
      <c r="D99" s="57" t="s">
        <v>199</v>
      </c>
      <c r="E99" s="46">
        <v>1</v>
      </c>
      <c r="F99" s="43" t="s">
        <v>378</v>
      </c>
      <c r="G99" s="44">
        <v>831.26</v>
      </c>
      <c r="H99" s="44">
        <v>505.81</v>
      </c>
      <c r="I99" s="45">
        <f t="shared" si="7"/>
        <v>1337.07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379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340</v>
      </c>
      <c r="B101" s="55" t="s">
        <v>93</v>
      </c>
      <c r="C101" s="57" t="s">
        <v>223</v>
      </c>
      <c r="D101" s="57" t="s">
        <v>181</v>
      </c>
      <c r="E101" s="46">
        <v>1</v>
      </c>
      <c r="F101" s="43" t="s">
        <v>380</v>
      </c>
      <c r="G101" s="44">
        <v>0</v>
      </c>
      <c r="H101" s="44">
        <v>1392.8</v>
      </c>
      <c r="I101" s="45">
        <f t="shared" si="7"/>
        <v>1392.8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381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347</v>
      </c>
      <c r="D103" s="57" t="s">
        <v>181</v>
      </c>
      <c r="E103" s="46">
        <v>1</v>
      </c>
      <c r="F103" s="43" t="s">
        <v>382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346</v>
      </c>
      <c r="B104" s="55" t="s">
        <v>97</v>
      </c>
      <c r="C104" s="57" t="s">
        <v>348</v>
      </c>
      <c r="D104" s="57" t="s">
        <v>181</v>
      </c>
      <c r="E104" s="46">
        <v>1</v>
      </c>
      <c r="F104" s="43" t="s">
        <v>383</v>
      </c>
      <c r="G104" s="44">
        <v>0</v>
      </c>
      <c r="H104" s="44">
        <v>566.5</v>
      </c>
      <c r="I104" s="45">
        <f t="shared" si="7"/>
        <v>566.5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347</v>
      </c>
      <c r="D105" s="57" t="s">
        <v>181</v>
      </c>
      <c r="E105" s="46">
        <v>1</v>
      </c>
      <c r="F105" s="43" t="s">
        <v>384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349</v>
      </c>
      <c r="D106" s="57" t="s">
        <v>181</v>
      </c>
      <c r="E106" s="46">
        <v>1</v>
      </c>
      <c r="F106" s="43" t="s">
        <v>385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340</v>
      </c>
      <c r="B107" s="55" t="s">
        <v>93</v>
      </c>
      <c r="C107" s="57" t="s">
        <v>231</v>
      </c>
      <c r="D107" s="57" t="s">
        <v>181</v>
      </c>
      <c r="E107" s="46">
        <v>1</v>
      </c>
      <c r="F107" s="43" t="s">
        <v>386</v>
      </c>
      <c r="G107" s="44">
        <v>0</v>
      </c>
      <c r="H107" s="44">
        <v>1392.8</v>
      </c>
      <c r="I107" s="45">
        <f t="shared" si="7"/>
        <v>1392.8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341</v>
      </c>
      <c r="B108" s="55" t="s">
        <v>342</v>
      </c>
      <c r="C108" s="57" t="s">
        <v>350</v>
      </c>
      <c r="D108" s="57" t="s">
        <v>181</v>
      </c>
      <c r="E108" s="46">
        <v>1</v>
      </c>
      <c r="F108" s="43" t="s">
        <v>387</v>
      </c>
      <c r="G108" s="44">
        <v>0</v>
      </c>
      <c r="H108" s="44">
        <v>849.76</v>
      </c>
      <c r="I108" s="45">
        <f t="shared" si="7"/>
        <v>849.76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340</v>
      </c>
      <c r="B109" s="55" t="s">
        <v>93</v>
      </c>
      <c r="C109" s="57" t="s">
        <v>351</v>
      </c>
      <c r="D109" s="57" t="s">
        <v>181</v>
      </c>
      <c r="E109" s="46">
        <v>1</v>
      </c>
      <c r="F109" s="43" t="s">
        <v>388</v>
      </c>
      <c r="G109" s="44">
        <v>0</v>
      </c>
      <c r="H109" s="44">
        <v>1392.8</v>
      </c>
      <c r="I109" s="45">
        <f t="shared" si="7"/>
        <v>1392.8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346</v>
      </c>
      <c r="B110" s="55" t="s">
        <v>97</v>
      </c>
      <c r="C110" s="57" t="s">
        <v>352</v>
      </c>
      <c r="D110" s="57" t="s">
        <v>199</v>
      </c>
      <c r="E110" s="46">
        <v>1</v>
      </c>
      <c r="F110" s="43" t="s">
        <v>389</v>
      </c>
      <c r="G110" s="44">
        <v>852.4</v>
      </c>
      <c r="H110" s="44">
        <v>566.5</v>
      </c>
      <c r="I110" s="45">
        <f t="shared" si="7"/>
        <v>1418.9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340</v>
      </c>
      <c r="B111" s="55" t="s">
        <v>93</v>
      </c>
      <c r="C111" s="57" t="s">
        <v>353</v>
      </c>
      <c r="D111" s="57" t="s">
        <v>199</v>
      </c>
      <c r="E111" s="46">
        <v>1</v>
      </c>
      <c r="F111" s="43" t="s">
        <v>390</v>
      </c>
      <c r="G111" s="44">
        <v>830.46</v>
      </c>
      <c r="H111" s="44">
        <v>1392.8</v>
      </c>
      <c r="I111" s="45">
        <f t="shared" si="7"/>
        <v>2223.2600000000002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391</v>
      </c>
      <c r="G112" s="44">
        <v>844.27</v>
      </c>
      <c r="H112" s="44">
        <v>566.5</v>
      </c>
      <c r="I112" s="45">
        <f t="shared" si="7"/>
        <v>1410.77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353</v>
      </c>
      <c r="D113" s="57" t="s">
        <v>199</v>
      </c>
      <c r="E113" s="46">
        <v>1</v>
      </c>
      <c r="F113" s="43" t="s">
        <v>392</v>
      </c>
      <c r="G113" s="44">
        <v>844.13</v>
      </c>
      <c r="H113" s="44">
        <v>566.5</v>
      </c>
      <c r="I113" s="45">
        <f t="shared" si="7"/>
        <v>1410.63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354</v>
      </c>
      <c r="D114" s="57" t="s">
        <v>181</v>
      </c>
      <c r="E114" s="46">
        <v>1</v>
      </c>
      <c r="F114" s="43" t="s">
        <v>393</v>
      </c>
      <c r="G114" s="44">
        <v>0</v>
      </c>
      <c r="H114" s="44">
        <v>566.5</v>
      </c>
      <c r="I114" s="45">
        <f t="shared" si="7"/>
        <v>566.5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477</v>
      </c>
      <c r="G115" s="44">
        <v>845.01</v>
      </c>
      <c r="H115" s="44">
        <v>566.5</v>
      </c>
      <c r="I115" s="45">
        <f t="shared" si="7"/>
        <v>1411.51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394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346</v>
      </c>
      <c r="B117" s="55" t="s">
        <v>97</v>
      </c>
      <c r="C117" s="57" t="s">
        <v>355</v>
      </c>
      <c r="D117" s="57" t="s">
        <v>199</v>
      </c>
      <c r="E117" s="46">
        <v>1</v>
      </c>
      <c r="F117" s="43" t="s">
        <v>395</v>
      </c>
      <c r="G117" s="44">
        <v>837.96</v>
      </c>
      <c r="H117" s="44">
        <v>566.5</v>
      </c>
      <c r="I117" s="45">
        <f t="shared" si="7"/>
        <v>1404.46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340</v>
      </c>
      <c r="B118" s="55" t="s">
        <v>93</v>
      </c>
      <c r="C118" s="57" t="s">
        <v>356</v>
      </c>
      <c r="D118" s="57" t="s">
        <v>181</v>
      </c>
      <c r="E118" s="46">
        <v>1</v>
      </c>
      <c r="F118" s="43" t="s">
        <v>396</v>
      </c>
      <c r="G118" s="44">
        <v>0</v>
      </c>
      <c r="H118" s="44">
        <v>1392.8</v>
      </c>
      <c r="I118" s="45">
        <f t="shared" si="7"/>
        <v>1392.8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346</v>
      </c>
      <c r="B119" s="55" t="s">
        <v>97</v>
      </c>
      <c r="C119" s="57" t="s">
        <v>356</v>
      </c>
      <c r="D119" s="57" t="s">
        <v>199</v>
      </c>
      <c r="E119" s="46">
        <v>1</v>
      </c>
      <c r="F119" s="43" t="s">
        <v>397</v>
      </c>
      <c r="G119" s="44">
        <v>844.87</v>
      </c>
      <c r="H119" s="44">
        <v>566.5</v>
      </c>
      <c r="I119" s="45">
        <f t="shared" si="7"/>
        <v>1411.37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344</v>
      </c>
      <c r="B120" s="55" t="s">
        <v>345</v>
      </c>
      <c r="C120" s="57" t="s">
        <v>356</v>
      </c>
      <c r="D120" s="57" t="s">
        <v>199</v>
      </c>
      <c r="E120" s="46">
        <v>1</v>
      </c>
      <c r="F120" s="43" t="s">
        <v>398</v>
      </c>
      <c r="G120" s="44">
        <v>852.4</v>
      </c>
      <c r="H120" s="44">
        <v>505.81</v>
      </c>
      <c r="I120" s="45">
        <f t="shared" si="7"/>
        <v>1358.21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340</v>
      </c>
      <c r="B121" s="55" t="s">
        <v>93</v>
      </c>
      <c r="C121" s="57" t="s">
        <v>357</v>
      </c>
      <c r="D121" s="57" t="s">
        <v>181</v>
      </c>
      <c r="E121" s="46">
        <v>1</v>
      </c>
      <c r="F121" s="43" t="s">
        <v>399</v>
      </c>
      <c r="G121" s="44">
        <v>0</v>
      </c>
      <c r="H121" s="44">
        <v>1392.8</v>
      </c>
      <c r="I121" s="45">
        <f t="shared" si="7"/>
        <v>1392.8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400</v>
      </c>
      <c r="G122" s="44">
        <v>16704.73</v>
      </c>
      <c r="H122" s="44">
        <v>566.5</v>
      </c>
      <c r="I122" s="45">
        <f t="shared" si="7"/>
        <v>17271.23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357</v>
      </c>
      <c r="D123" s="57" t="s">
        <v>199</v>
      </c>
      <c r="E123" s="46">
        <v>1</v>
      </c>
      <c r="F123" s="43" t="s">
        <v>401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199</v>
      </c>
      <c r="E124" s="46">
        <v>1</v>
      </c>
      <c r="F124" s="43" t="s">
        <v>402</v>
      </c>
      <c r="G124" s="44">
        <v>837.96</v>
      </c>
      <c r="H124" s="44">
        <v>566.5</v>
      </c>
      <c r="I124" s="45">
        <f t="shared" si="7"/>
        <v>1404.46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346</v>
      </c>
      <c r="B125" s="55" t="s">
        <v>97</v>
      </c>
      <c r="C125" s="57" t="s">
        <v>358</v>
      </c>
      <c r="D125" s="57" t="s">
        <v>181</v>
      </c>
      <c r="E125" s="46">
        <v>1</v>
      </c>
      <c r="F125" s="43" t="s">
        <v>403</v>
      </c>
      <c r="G125" s="44">
        <v>0</v>
      </c>
      <c r="H125" s="44">
        <v>566.5</v>
      </c>
      <c r="I125" s="45">
        <f t="shared" si="7"/>
        <v>566.5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404</v>
      </c>
      <c r="G126" s="44">
        <v>831.26</v>
      </c>
      <c r="H126" s="44">
        <v>1392.8</v>
      </c>
      <c r="I126" s="45">
        <f t="shared" si="7"/>
        <v>2224.06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359</v>
      </c>
      <c r="D127" s="57" t="s">
        <v>199</v>
      </c>
      <c r="E127" s="46">
        <v>1</v>
      </c>
      <c r="F127" s="43" t="s">
        <v>405</v>
      </c>
      <c r="G127" s="44">
        <v>1006.04</v>
      </c>
      <c r="H127" s="44">
        <v>1392.8</v>
      </c>
      <c r="I127" s="45">
        <f t="shared" si="7"/>
        <v>2398.84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340</v>
      </c>
      <c r="B128" s="55" t="s">
        <v>93</v>
      </c>
      <c r="C128" s="57" t="s">
        <v>360</v>
      </c>
      <c r="D128" s="57" t="s">
        <v>199</v>
      </c>
      <c r="E128" s="46">
        <v>1</v>
      </c>
      <c r="F128" s="43" t="s">
        <v>406</v>
      </c>
      <c r="G128" s="44">
        <v>837.96</v>
      </c>
      <c r="H128" s="44">
        <v>1392.8</v>
      </c>
      <c r="I128" s="45">
        <f t="shared" si="7"/>
        <v>2230.7600000000002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407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346</v>
      </c>
      <c r="B130" s="55" t="s">
        <v>97</v>
      </c>
      <c r="C130" s="57" t="s">
        <v>361</v>
      </c>
      <c r="D130" s="57" t="s">
        <v>181</v>
      </c>
      <c r="E130" s="46">
        <v>1</v>
      </c>
      <c r="F130" s="43" t="s">
        <v>408</v>
      </c>
      <c r="G130" s="44">
        <v>0</v>
      </c>
      <c r="H130" s="44">
        <v>566.5</v>
      </c>
      <c r="I130" s="45">
        <f t="shared" si="7"/>
        <v>566.5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362</v>
      </c>
      <c r="D131" s="57" t="s">
        <v>181</v>
      </c>
      <c r="E131" s="46">
        <v>1</v>
      </c>
      <c r="F131" s="43" t="s">
        <v>409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410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340</v>
      </c>
      <c r="B133" s="55" t="s">
        <v>93</v>
      </c>
      <c r="C133" s="57" t="s">
        <v>248</v>
      </c>
      <c r="D133" s="57" t="s">
        <v>181</v>
      </c>
      <c r="E133" s="46">
        <v>1</v>
      </c>
      <c r="F133" s="43" t="s">
        <v>411</v>
      </c>
      <c r="G133" s="44">
        <v>0</v>
      </c>
      <c r="H133" s="44">
        <v>1392.8</v>
      </c>
      <c r="I133" s="45">
        <f t="shared" si="7"/>
        <v>1392.8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346</v>
      </c>
      <c r="B134" s="55" t="s">
        <v>97</v>
      </c>
      <c r="C134" s="57" t="s">
        <v>248</v>
      </c>
      <c r="D134" s="57" t="s">
        <v>199</v>
      </c>
      <c r="E134" s="46">
        <v>1</v>
      </c>
      <c r="F134" s="43" t="s">
        <v>490</v>
      </c>
      <c r="G134" s="44">
        <v>1509.2</v>
      </c>
      <c r="H134" s="44">
        <v>1392.8</v>
      </c>
      <c r="I134" s="45">
        <f t="shared" si="7"/>
        <v>2902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248</v>
      </c>
      <c r="D135" s="57" t="s">
        <v>199</v>
      </c>
      <c r="E135" s="46">
        <v>1</v>
      </c>
      <c r="F135" s="43" t="s">
        <v>413</v>
      </c>
      <c r="G135" s="44">
        <v>837.83</v>
      </c>
      <c r="H135" s="44">
        <v>1392.8</v>
      </c>
      <c r="I135" s="45">
        <f t="shared" si="7"/>
        <v>2230.63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199</v>
      </c>
      <c r="E136" s="46">
        <v>1</v>
      </c>
      <c r="F136" s="43" t="s">
        <v>414</v>
      </c>
      <c r="G136" s="44">
        <v>809.06</v>
      </c>
      <c r="H136" s="44">
        <v>1392.8</v>
      </c>
      <c r="I136" s="45">
        <f t="shared" si="7"/>
        <v>2201.8599999999997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79" t="s">
        <v>494</v>
      </c>
      <c r="G137" s="44">
        <v>1509.2</v>
      </c>
      <c r="H137" s="44">
        <v>1392.8</v>
      </c>
      <c r="I137" s="45">
        <f t="shared" si="7"/>
        <v>2902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181</v>
      </c>
      <c r="E138" s="46">
        <v>1</v>
      </c>
      <c r="F138" s="79" t="s">
        <v>495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417</v>
      </c>
      <c r="G139" s="44">
        <v>1509.2</v>
      </c>
      <c r="H139" s="44">
        <v>1392.8</v>
      </c>
      <c r="I139" s="45">
        <f t="shared" si="7"/>
        <v>2902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340</v>
      </c>
      <c r="B140" s="55" t="s">
        <v>93</v>
      </c>
      <c r="C140" s="57" t="s">
        <v>194</v>
      </c>
      <c r="D140" s="57" t="s">
        <v>199</v>
      </c>
      <c r="E140" s="46">
        <v>1</v>
      </c>
      <c r="F140" s="43" t="s">
        <v>418</v>
      </c>
      <c r="G140" s="44">
        <v>809.06</v>
      </c>
      <c r="H140" s="44">
        <v>1392.8</v>
      </c>
      <c r="I140" s="45">
        <f t="shared" si="7"/>
        <v>2201.8599999999997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419</v>
      </c>
      <c r="G141" s="44">
        <v>852.4</v>
      </c>
      <c r="H141" s="44">
        <v>849.76</v>
      </c>
      <c r="I141" s="45">
        <f t="shared" si="7"/>
        <v>1702.1599999999999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478</v>
      </c>
      <c r="G142" s="44">
        <v>1509.2</v>
      </c>
      <c r="H142" s="44">
        <v>849.76</v>
      </c>
      <c r="I142" s="45">
        <f t="shared" si="7"/>
        <v>2358.96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421</v>
      </c>
      <c r="G143" s="44">
        <v>809.06</v>
      </c>
      <c r="H143" s="44">
        <v>849.76</v>
      </c>
      <c r="I143" s="45">
        <f t="shared" si="7"/>
        <v>1658.82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341</v>
      </c>
      <c r="B144" s="55" t="s">
        <v>342</v>
      </c>
      <c r="C144" s="57" t="s">
        <v>194</v>
      </c>
      <c r="D144" s="57" t="s">
        <v>199</v>
      </c>
      <c r="E144" s="46">
        <v>1</v>
      </c>
      <c r="F144" s="43" t="s">
        <v>422</v>
      </c>
      <c r="G144" s="44">
        <v>837.26</v>
      </c>
      <c r="H144" s="44">
        <v>849.76</v>
      </c>
      <c r="I144" s="45">
        <f t="shared" si="7"/>
        <v>1687.02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423</v>
      </c>
      <c r="G145" s="44">
        <v>824.75</v>
      </c>
      <c r="H145" s="44">
        <v>566.5</v>
      </c>
      <c r="I145" s="45">
        <f t="shared" si="7"/>
        <v>1391.25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346</v>
      </c>
      <c r="B146" s="55" t="s">
        <v>97</v>
      </c>
      <c r="C146" s="57" t="s">
        <v>194</v>
      </c>
      <c r="D146" s="57" t="s">
        <v>199</v>
      </c>
      <c r="E146" s="46">
        <v>1</v>
      </c>
      <c r="F146" s="43" t="s">
        <v>424</v>
      </c>
      <c r="G146" s="44">
        <v>831.26</v>
      </c>
      <c r="H146" s="44">
        <v>566.5</v>
      </c>
      <c r="I146" s="45">
        <f t="shared" si="7"/>
        <v>1397.76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363</v>
      </c>
      <c r="B147" s="55" t="s">
        <v>342</v>
      </c>
      <c r="C147" s="57" t="s">
        <v>194</v>
      </c>
      <c r="D147" s="57" t="s">
        <v>199</v>
      </c>
      <c r="E147" s="46">
        <v>1</v>
      </c>
      <c r="F147" s="43" t="s">
        <v>425</v>
      </c>
      <c r="G147" s="44">
        <v>1509.2</v>
      </c>
      <c r="H147" s="44">
        <v>849.76</v>
      </c>
      <c r="I147" s="45">
        <f t="shared" si="7"/>
        <v>2358.96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57" t="s">
        <v>181</v>
      </c>
      <c r="E148" s="46">
        <v>1</v>
      </c>
      <c r="F148" s="43" t="s">
        <v>426</v>
      </c>
      <c r="G148" s="44">
        <v>0</v>
      </c>
      <c r="H148" s="44">
        <v>1392.8</v>
      </c>
      <c r="I148" s="45">
        <f t="shared" si="7"/>
        <v>1392.8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254</v>
      </c>
      <c r="D149" s="57" t="s">
        <v>181</v>
      </c>
      <c r="E149" s="46">
        <v>1</v>
      </c>
      <c r="F149" s="43" t="s">
        <v>427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181</v>
      </c>
      <c r="E150" s="46">
        <v>1</v>
      </c>
      <c r="F150" s="43" t="s">
        <v>428</v>
      </c>
      <c r="G150" s="44">
        <v>0</v>
      </c>
      <c r="H150" s="44">
        <v>1392.8</v>
      </c>
      <c r="I150" s="45">
        <f t="shared" si="7"/>
        <v>1392.8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340</v>
      </c>
      <c r="B151" s="55" t="s">
        <v>93</v>
      </c>
      <c r="C151" s="57" t="s">
        <v>364</v>
      </c>
      <c r="D151" s="57" t="s">
        <v>199</v>
      </c>
      <c r="E151" s="46">
        <v>1</v>
      </c>
      <c r="F151" s="43" t="s">
        <v>429</v>
      </c>
      <c r="G151" s="44">
        <v>809.06</v>
      </c>
      <c r="H151" s="44">
        <v>1392.8</v>
      </c>
      <c r="I151" s="45">
        <f t="shared" si="7"/>
        <v>2201.8599999999997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346</v>
      </c>
      <c r="B152" s="55" t="s">
        <v>97</v>
      </c>
      <c r="C152" s="57" t="s">
        <v>364</v>
      </c>
      <c r="D152" s="57" t="s">
        <v>199</v>
      </c>
      <c r="E152" s="46">
        <v>1</v>
      </c>
      <c r="F152" s="43" t="s">
        <v>430</v>
      </c>
      <c r="G152" s="44">
        <v>1509.2</v>
      </c>
      <c r="H152" s="44">
        <v>566.5</v>
      </c>
      <c r="I152" s="45">
        <f t="shared" si="7"/>
        <v>2075.6999999999998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341</v>
      </c>
      <c r="B153" s="55" t="s">
        <v>342</v>
      </c>
      <c r="C153" s="57" t="s">
        <v>364</v>
      </c>
      <c r="D153" s="57" t="s">
        <v>199</v>
      </c>
      <c r="E153" s="46">
        <v>1</v>
      </c>
      <c r="F153" s="43" t="s">
        <v>431</v>
      </c>
      <c r="G153" s="44">
        <v>1509.2</v>
      </c>
      <c r="H153" s="44">
        <v>849.76</v>
      </c>
      <c r="I153" s="45">
        <f t="shared" si="7"/>
        <v>2358.96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346</v>
      </c>
      <c r="B154" s="55" t="s">
        <v>97</v>
      </c>
      <c r="C154" s="57" t="s">
        <v>260</v>
      </c>
      <c r="D154" s="57" t="s">
        <v>181</v>
      </c>
      <c r="E154" s="46">
        <v>1</v>
      </c>
      <c r="F154" s="78" t="s">
        <v>432</v>
      </c>
      <c r="G154" s="44">
        <v>0</v>
      </c>
      <c r="H154" s="44">
        <v>566.5</v>
      </c>
      <c r="I154" s="45">
        <f t="shared" si="7"/>
        <v>566.5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340</v>
      </c>
      <c r="B155" s="55" t="s">
        <v>93</v>
      </c>
      <c r="C155" s="57" t="s">
        <v>260</v>
      </c>
      <c r="D155" s="73" t="s">
        <v>183</v>
      </c>
      <c r="E155" s="46">
        <v>1</v>
      </c>
      <c r="F155" s="79" t="s">
        <v>183</v>
      </c>
      <c r="G155" s="44">
        <v>0</v>
      </c>
      <c r="H155" s="44">
        <v>0</v>
      </c>
      <c r="I155" s="45">
        <f t="shared" si="7"/>
        <v>0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434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365</v>
      </c>
      <c r="B157" s="55" t="s">
        <v>93</v>
      </c>
      <c r="C157" s="57" t="s">
        <v>260</v>
      </c>
      <c r="D157" s="57" t="s">
        <v>181</v>
      </c>
      <c r="E157" s="46">
        <v>1</v>
      </c>
      <c r="F157" s="43" t="s">
        <v>435</v>
      </c>
      <c r="G157" s="44">
        <v>0</v>
      </c>
      <c r="H157" s="44">
        <v>1392.8</v>
      </c>
      <c r="I157" s="45">
        <f t="shared" si="7"/>
        <v>1392.8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341</v>
      </c>
      <c r="B158" s="55" t="s">
        <v>342</v>
      </c>
      <c r="C158" s="57" t="s">
        <v>198</v>
      </c>
      <c r="D158" s="57" t="s">
        <v>199</v>
      </c>
      <c r="E158" s="46">
        <v>1</v>
      </c>
      <c r="F158" s="43" t="s">
        <v>436</v>
      </c>
      <c r="G158" s="44">
        <v>809.06</v>
      </c>
      <c r="H158" s="44">
        <v>849.76</v>
      </c>
      <c r="I158" s="45">
        <f t="shared" si="7"/>
        <v>1658.82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343</v>
      </c>
      <c r="B159" s="55" t="s">
        <v>101</v>
      </c>
      <c r="C159" s="57" t="s">
        <v>198</v>
      </c>
      <c r="D159" s="57" t="s">
        <v>199</v>
      </c>
      <c r="E159" s="46">
        <v>1</v>
      </c>
      <c r="F159" s="43" t="s">
        <v>437</v>
      </c>
      <c r="G159" s="44">
        <v>1509.2</v>
      </c>
      <c r="H159" s="44">
        <v>849.76</v>
      </c>
      <c r="I159" s="45">
        <f t="shared" si="7"/>
        <v>2358.96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181</v>
      </c>
      <c r="E160" s="46">
        <v>1</v>
      </c>
      <c r="F160" s="43" t="s">
        <v>438</v>
      </c>
      <c r="G160" s="44">
        <v>0</v>
      </c>
      <c r="H160" s="44">
        <v>1392.8</v>
      </c>
      <c r="I160" s="45">
        <f t="shared" si="7"/>
        <v>1392.8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340</v>
      </c>
      <c r="B161" s="55" t="s">
        <v>93</v>
      </c>
      <c r="C161" s="57" t="s">
        <v>366</v>
      </c>
      <c r="D161" s="57" t="s">
        <v>199</v>
      </c>
      <c r="E161" s="46">
        <v>1</v>
      </c>
      <c r="F161" s="43" t="s">
        <v>439</v>
      </c>
      <c r="G161" s="44">
        <v>852.4</v>
      </c>
      <c r="H161" s="44">
        <v>1392.8</v>
      </c>
      <c r="I161" s="45">
        <f t="shared" si="7"/>
        <v>2245.1999999999998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440</v>
      </c>
      <c r="G162" s="44">
        <v>831.26</v>
      </c>
      <c r="H162" s="44">
        <v>849.76</v>
      </c>
      <c r="I162" s="45">
        <f t="shared" si="7"/>
        <v>1681.02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441</v>
      </c>
      <c r="G163" s="44">
        <v>824.11</v>
      </c>
      <c r="H163" s="44">
        <v>849.76</v>
      </c>
      <c r="I163" s="45">
        <f t="shared" si="7"/>
        <v>1673.87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442</v>
      </c>
      <c r="G164" s="44">
        <v>1109.1600000000001</v>
      </c>
      <c r="H164" s="44">
        <v>849.76</v>
      </c>
      <c r="I164" s="45">
        <f t="shared" si="7"/>
        <v>1958.92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443</v>
      </c>
      <c r="G165" s="44">
        <v>811.5</v>
      </c>
      <c r="H165" s="44">
        <v>849.76</v>
      </c>
      <c r="I165" s="45">
        <f t="shared" si="7"/>
        <v>1661.26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341</v>
      </c>
      <c r="B166" s="55" t="s">
        <v>342</v>
      </c>
      <c r="C166" s="57" t="s">
        <v>366</v>
      </c>
      <c r="D166" s="57" t="s">
        <v>199</v>
      </c>
      <c r="E166" s="46">
        <v>1</v>
      </c>
      <c r="F166" s="43" t="s">
        <v>444</v>
      </c>
      <c r="G166" s="44">
        <v>831.13</v>
      </c>
      <c r="H166" s="44">
        <v>849.76</v>
      </c>
      <c r="I166" s="45">
        <f t="shared" si="7"/>
        <v>1680.8899999999999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366</v>
      </c>
      <c r="D167" s="57" t="s">
        <v>199</v>
      </c>
      <c r="E167" s="46">
        <v>1</v>
      </c>
      <c r="F167" s="43" t="s">
        <v>445</v>
      </c>
      <c r="G167" s="44">
        <v>844.87</v>
      </c>
      <c r="H167" s="44">
        <v>566.5</v>
      </c>
      <c r="I167" s="45">
        <f t="shared" si="7"/>
        <v>1411.37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346</v>
      </c>
      <c r="B168" s="55" t="s">
        <v>97</v>
      </c>
      <c r="C168" s="57" t="s">
        <v>291</v>
      </c>
      <c r="D168" s="57" t="s">
        <v>199</v>
      </c>
      <c r="E168" s="46">
        <v>1</v>
      </c>
      <c r="F168" s="43" t="s">
        <v>446</v>
      </c>
      <c r="G168" s="44">
        <v>852.4</v>
      </c>
      <c r="H168" s="44">
        <v>566.5</v>
      </c>
      <c r="I168" s="45">
        <f t="shared" si="7"/>
        <v>1418.9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94</v>
      </c>
      <c r="B169" s="55" t="s">
        <v>342</v>
      </c>
      <c r="C169" s="57" t="s">
        <v>291</v>
      </c>
      <c r="D169" s="57" t="s">
        <v>199</v>
      </c>
      <c r="E169" s="46">
        <v>1</v>
      </c>
      <c r="F169" s="43" t="s">
        <v>487</v>
      </c>
      <c r="G169" s="44">
        <v>809.06</v>
      </c>
      <c r="H169" s="44">
        <v>849.76</v>
      </c>
      <c r="I169" s="45">
        <f t="shared" si="7"/>
        <v>1658.82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341</v>
      </c>
      <c r="B170" s="55" t="s">
        <v>342</v>
      </c>
      <c r="C170" s="57" t="s">
        <v>291</v>
      </c>
      <c r="D170" s="57" t="s">
        <v>181</v>
      </c>
      <c r="E170" s="46">
        <v>1</v>
      </c>
      <c r="F170" s="43" t="s">
        <v>448</v>
      </c>
      <c r="G170" s="44">
        <v>0</v>
      </c>
      <c r="H170" s="44">
        <v>849.76</v>
      </c>
      <c r="I170" s="45">
        <f t="shared" si="7"/>
        <v>849.76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449</v>
      </c>
      <c r="G171" s="44">
        <v>852.4</v>
      </c>
      <c r="H171" s="44">
        <v>1392.8</v>
      </c>
      <c r="I171" s="45">
        <f t="shared" si="7"/>
        <v>2245.1999999999998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450</v>
      </c>
      <c r="G172" s="44">
        <v>844.87</v>
      </c>
      <c r="H172" s="44">
        <v>1392.8</v>
      </c>
      <c r="I172" s="45">
        <f t="shared" si="7"/>
        <v>2237.67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340</v>
      </c>
      <c r="B173" s="55" t="s">
        <v>93</v>
      </c>
      <c r="C173" s="57" t="s">
        <v>291</v>
      </c>
      <c r="D173" s="57" t="s">
        <v>199</v>
      </c>
      <c r="E173" s="46">
        <v>1</v>
      </c>
      <c r="F173" s="43" t="s">
        <v>451</v>
      </c>
      <c r="G173" s="44">
        <v>852.4</v>
      </c>
      <c r="H173" s="44">
        <v>1392.8</v>
      </c>
      <c r="I173" s="45">
        <f t="shared" si="7"/>
        <v>2245.1999999999998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346</v>
      </c>
      <c r="B174" s="55" t="s">
        <v>97</v>
      </c>
      <c r="C174" s="57" t="s">
        <v>291</v>
      </c>
      <c r="D174" s="57" t="s">
        <v>199</v>
      </c>
      <c r="E174" s="46">
        <v>1</v>
      </c>
      <c r="F174" s="43" t="s">
        <v>452</v>
      </c>
      <c r="G174" s="44">
        <v>852.4</v>
      </c>
      <c r="H174" s="44">
        <v>566.5</v>
      </c>
      <c r="I174" s="45">
        <f t="shared" si="7"/>
        <v>1418.9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344</v>
      </c>
      <c r="B175" s="55" t="s">
        <v>345</v>
      </c>
      <c r="C175" s="57" t="s">
        <v>291</v>
      </c>
      <c r="D175" s="57" t="s">
        <v>199</v>
      </c>
      <c r="E175" s="46">
        <v>1</v>
      </c>
      <c r="F175" s="43" t="s">
        <v>453</v>
      </c>
      <c r="G175" s="44">
        <v>1509.2</v>
      </c>
      <c r="H175" s="44">
        <v>505.81</v>
      </c>
      <c r="I175" s="45">
        <f t="shared" si="7"/>
        <v>2015.01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367</v>
      </c>
      <c r="B176" s="55" t="s">
        <v>103</v>
      </c>
      <c r="C176" s="57" t="s">
        <v>291</v>
      </c>
      <c r="D176" s="57" t="s">
        <v>199</v>
      </c>
      <c r="E176" s="46">
        <v>1</v>
      </c>
      <c r="F176" s="43" t="s">
        <v>454</v>
      </c>
      <c r="G176" s="44">
        <v>1509.2</v>
      </c>
      <c r="H176" s="44">
        <v>364.17</v>
      </c>
      <c r="I176" s="45">
        <f t="shared" si="7"/>
        <v>1873.3700000000001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455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181</v>
      </c>
      <c r="E178" s="46">
        <v>1</v>
      </c>
      <c r="F178" s="43" t="s">
        <v>456</v>
      </c>
      <c r="G178" s="44">
        <v>0</v>
      </c>
      <c r="H178" s="44">
        <v>1392.8</v>
      </c>
      <c r="I178" s="45">
        <f t="shared" si="7"/>
        <v>1392.8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340</v>
      </c>
      <c r="B179" s="55" t="s">
        <v>93</v>
      </c>
      <c r="C179" s="57" t="s">
        <v>203</v>
      </c>
      <c r="D179" s="57" t="s">
        <v>199</v>
      </c>
      <c r="E179" s="46">
        <v>1</v>
      </c>
      <c r="F179" s="43" t="s">
        <v>457</v>
      </c>
      <c r="G179" s="44">
        <v>1509.2</v>
      </c>
      <c r="H179" s="44">
        <v>1392.8</v>
      </c>
      <c r="I179" s="45">
        <f t="shared" si="7"/>
        <v>2902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346</v>
      </c>
      <c r="B180" s="55" t="s">
        <v>97</v>
      </c>
      <c r="C180" s="57" t="s">
        <v>295</v>
      </c>
      <c r="D180" s="57" t="s">
        <v>199</v>
      </c>
      <c r="E180" s="46">
        <v>1</v>
      </c>
      <c r="F180" s="43" t="s">
        <v>458</v>
      </c>
      <c r="G180" s="44">
        <v>844.87</v>
      </c>
      <c r="H180" s="44">
        <v>566.5</v>
      </c>
      <c r="I180" s="45">
        <f t="shared" si="7"/>
        <v>1411.37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295</v>
      </c>
      <c r="D181" s="57" t="s">
        <v>199</v>
      </c>
      <c r="E181" s="46">
        <v>1</v>
      </c>
      <c r="F181" s="43" t="s">
        <v>459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299</v>
      </c>
      <c r="D182" s="57" t="s">
        <v>199</v>
      </c>
      <c r="E182" s="46">
        <v>1</v>
      </c>
      <c r="F182" s="43" t="s">
        <v>460</v>
      </c>
      <c r="G182" s="44">
        <v>1509.2</v>
      </c>
      <c r="H182" s="44">
        <v>849.76</v>
      </c>
      <c r="I182" s="45">
        <f t="shared" si="7"/>
        <v>2358.96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341</v>
      </c>
      <c r="B183" s="55" t="s">
        <v>342</v>
      </c>
      <c r="C183" s="57" t="s">
        <v>368</v>
      </c>
      <c r="D183" s="57" t="s">
        <v>199</v>
      </c>
      <c r="E183" s="46">
        <v>1</v>
      </c>
      <c r="F183" s="43" t="s">
        <v>461</v>
      </c>
      <c r="G183" s="44">
        <v>987.85</v>
      </c>
      <c r="H183" s="44">
        <v>849.76</v>
      </c>
      <c r="I183" s="45">
        <f t="shared" si="7"/>
        <v>1837.6100000000001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462</v>
      </c>
      <c r="G184" s="44">
        <v>990.49</v>
      </c>
      <c r="H184" s="44">
        <v>505.81</v>
      </c>
      <c r="I184" s="45">
        <f t="shared" si="7"/>
        <v>1496.3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344</v>
      </c>
      <c r="B185" s="55" t="s">
        <v>345</v>
      </c>
      <c r="C185" s="57" t="s">
        <v>368</v>
      </c>
      <c r="D185" s="57" t="s">
        <v>199</v>
      </c>
      <c r="E185" s="46">
        <v>1</v>
      </c>
      <c r="F185" s="43" t="s">
        <v>463</v>
      </c>
      <c r="G185" s="44">
        <v>987.85</v>
      </c>
      <c r="H185" s="44">
        <v>505.81</v>
      </c>
      <c r="I185" s="45">
        <f t="shared" si="7"/>
        <v>1493.66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368</v>
      </c>
      <c r="D186" s="57" t="s">
        <v>199</v>
      </c>
      <c r="E186" s="46">
        <v>1</v>
      </c>
      <c r="F186" s="43" t="s">
        <v>464</v>
      </c>
      <c r="G186" s="44">
        <v>974.09</v>
      </c>
      <c r="H186" s="44">
        <v>566.5</v>
      </c>
      <c r="I186" s="45">
        <f t="shared" si="7"/>
        <v>1540.5900000000001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346</v>
      </c>
      <c r="B187" s="55" t="s">
        <v>97</v>
      </c>
      <c r="C187" s="57" t="s">
        <v>369</v>
      </c>
      <c r="D187" s="57" t="s">
        <v>199</v>
      </c>
      <c r="E187" s="46">
        <v>1</v>
      </c>
      <c r="F187" s="43" t="s">
        <v>465</v>
      </c>
      <c r="G187" s="44">
        <v>852.4</v>
      </c>
      <c r="H187" s="44">
        <v>566.5</v>
      </c>
      <c r="I187" s="45">
        <f t="shared" si="7"/>
        <v>1418.9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341</v>
      </c>
      <c r="B188" s="55" t="s">
        <v>342</v>
      </c>
      <c r="C188" s="57" t="s">
        <v>370</v>
      </c>
      <c r="D188" s="73" t="s">
        <v>199</v>
      </c>
      <c r="E188" s="46">
        <v>1</v>
      </c>
      <c r="F188" s="79" t="s">
        <v>496</v>
      </c>
      <c r="G188" s="44">
        <v>24932.44</v>
      </c>
      <c r="H188" s="44">
        <v>849.76</v>
      </c>
      <c r="I188" s="45">
        <f t="shared" si="7"/>
        <v>25782.199999999997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370</v>
      </c>
      <c r="D189" s="57" t="s">
        <v>181</v>
      </c>
      <c r="E189" s="46">
        <v>1</v>
      </c>
      <c r="F189" s="43" t="s">
        <v>467</v>
      </c>
      <c r="G189" s="44">
        <v>0</v>
      </c>
      <c r="H189" s="44">
        <v>566.5</v>
      </c>
      <c r="I189" s="45">
        <f t="shared" si="7"/>
        <v>566.5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371</v>
      </c>
      <c r="D190" s="57" t="s">
        <v>183</v>
      </c>
      <c r="E190" s="46">
        <v>1</v>
      </c>
      <c r="F190" s="79" t="s">
        <v>183</v>
      </c>
      <c r="G190" s="44">
        <v>0</v>
      </c>
      <c r="H190" s="44">
        <v>0</v>
      </c>
      <c r="I190" s="45">
        <f t="shared" si="7"/>
        <v>0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47" t="s">
        <v>346</v>
      </c>
      <c r="B191" s="55" t="s">
        <v>97</v>
      </c>
      <c r="C191" s="57" t="s">
        <v>372</v>
      </c>
      <c r="D191" s="57" t="s">
        <v>199</v>
      </c>
      <c r="E191" s="46">
        <v>1</v>
      </c>
      <c r="F191" s="43" t="s">
        <v>469</v>
      </c>
      <c r="G191" s="44">
        <v>853.96</v>
      </c>
      <c r="H191" s="44">
        <v>566.5</v>
      </c>
      <c r="I191" s="45">
        <f t="shared" si="7"/>
        <v>1420.46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340</v>
      </c>
      <c r="B192" s="55" t="s">
        <v>93</v>
      </c>
      <c r="C192" s="55" t="s">
        <v>373</v>
      </c>
      <c r="D192" s="57" t="s">
        <v>181</v>
      </c>
      <c r="E192" s="46">
        <v>1</v>
      </c>
      <c r="F192" s="47" t="s">
        <v>470</v>
      </c>
      <c r="G192" s="44">
        <v>0</v>
      </c>
      <c r="H192" s="44">
        <v>1392.8</v>
      </c>
      <c r="I192" s="45">
        <f t="shared" si="7"/>
        <v>1392.8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365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471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340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472</v>
      </c>
      <c r="G194" s="44">
        <v>837.26</v>
      </c>
      <c r="H194" s="44">
        <v>1392.8</v>
      </c>
      <c r="I194" s="45">
        <f t="shared" si="7"/>
        <v>2230.06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365</v>
      </c>
      <c r="B195" s="55" t="s">
        <v>93</v>
      </c>
      <c r="C195" s="55" t="s">
        <v>373</v>
      </c>
      <c r="D195" s="57" t="s">
        <v>199</v>
      </c>
      <c r="E195" s="46">
        <v>1</v>
      </c>
      <c r="F195" s="56" t="s">
        <v>473</v>
      </c>
      <c r="G195" s="44">
        <v>844.13</v>
      </c>
      <c r="H195" s="44">
        <v>1392.8</v>
      </c>
      <c r="I195" s="45">
        <f t="shared" si="7"/>
        <v>2236.9299999999998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346</v>
      </c>
      <c r="B196" s="55" t="s">
        <v>97</v>
      </c>
      <c r="C196" s="55" t="s">
        <v>373</v>
      </c>
      <c r="D196" s="57" t="s">
        <v>181</v>
      </c>
      <c r="E196" s="46">
        <v>1</v>
      </c>
      <c r="F196" s="56" t="s">
        <v>474</v>
      </c>
      <c r="G196" s="44">
        <v>0</v>
      </c>
      <c r="H196" s="44">
        <v>566.5</v>
      </c>
      <c r="I196" s="45">
        <f t="shared" si="7"/>
        <v>566.5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475</v>
      </c>
      <c r="G197" s="44">
        <v>830.46</v>
      </c>
      <c r="H197" s="44">
        <v>1392.8</v>
      </c>
      <c r="I197" s="45">
        <f t="shared" si="7"/>
        <v>2223.2600000000002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x14ac:dyDescent="0.2">
      <c r="A198" s="56" t="s">
        <v>365</v>
      </c>
      <c r="B198" s="55" t="s">
        <v>93</v>
      </c>
      <c r="C198" s="55" t="s">
        <v>373</v>
      </c>
      <c r="D198" s="57" t="s">
        <v>199</v>
      </c>
      <c r="E198" s="46">
        <v>1</v>
      </c>
      <c r="F198" s="56" t="s">
        <v>476</v>
      </c>
      <c r="G198" s="44">
        <v>837.13</v>
      </c>
      <c r="H198" s="44">
        <v>1392.8</v>
      </c>
      <c r="I198" s="45">
        <f t="shared" si="7"/>
        <v>2229.9299999999998</v>
      </c>
      <c r="J198" s="21"/>
      <c r="K198" s="21"/>
      <c r="L198" s="21"/>
      <c r="M198" s="21"/>
      <c r="N198" s="21"/>
      <c r="O198" s="21"/>
      <c r="P198" s="21"/>
      <c r="Q198" s="21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45" x14ac:dyDescent="0.2">
      <c r="A199" s="63" t="s">
        <v>84</v>
      </c>
      <c r="B199" s="63" t="s">
        <v>85</v>
      </c>
      <c r="C199" s="35" t="s">
        <v>86</v>
      </c>
      <c r="D199" s="35" t="s">
        <v>87</v>
      </c>
      <c r="E199" s="35" t="s">
        <v>88</v>
      </c>
      <c r="F199" s="48"/>
      <c r="G199" s="35" t="s">
        <v>89</v>
      </c>
      <c r="H199" s="35" t="s">
        <v>90</v>
      </c>
      <c r="I199" s="35" t="s">
        <v>91</v>
      </c>
      <c r="J199" s="21"/>
      <c r="K199" s="21"/>
      <c r="L199" s="21"/>
      <c r="M199" s="21"/>
      <c r="N199" s="21"/>
      <c r="O199" s="21"/>
      <c r="P199" s="21"/>
      <c r="Q199" s="21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spans="1:30" x14ac:dyDescent="0.2">
      <c r="A200" s="58" t="s">
        <v>92</v>
      </c>
      <c r="B200" s="59" t="s">
        <v>93</v>
      </c>
      <c r="C200" s="28">
        <f>SUMIFS($E$95:$E$198,$B$95:$B$198,"FGS-1",$D$95:$D$198,"&lt;&gt;VAGO")</f>
        <v>43</v>
      </c>
      <c r="D200" s="28">
        <f>SUMIFS($E$95:$E$198,$B$95:$B$198,"FGS-1",$D$95:$D$198,"VAGO")</f>
        <v>1</v>
      </c>
      <c r="E200" s="28">
        <f t="shared" ref="E200:E205" si="8">C200+D200</f>
        <v>44</v>
      </c>
      <c r="F200" s="29"/>
      <c r="G200" s="45">
        <f>SUMIF($B$95:$B$198,"FGS-1",$G$95:$G$198)</f>
        <v>21240.109999999997</v>
      </c>
      <c r="H200" s="45">
        <f>SUMIF($B$95:$B$198,"FGS-1",$H$95:$H$198)</f>
        <v>59890.400000000045</v>
      </c>
      <c r="I200" s="71">
        <f>SUMIF($B$95:$B$198,"FGS-1",$I$95:$I$198)</f>
        <v>81130.509999999995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94</v>
      </c>
      <c r="B201" s="59" t="s">
        <v>95</v>
      </c>
      <c r="C201" s="28">
        <f>SUMIFS($E$95:$E$198,$B$95:$B$198,"FGS-2",$D$95:$D$198,"&lt;&gt;VAGO")</f>
        <v>20</v>
      </c>
      <c r="D201" s="28">
        <f>SUMIFS($E$95:$E$198,$B$95:$B$198,"FGS-2",$D$95:$D$198,"VAGO")</f>
        <v>0</v>
      </c>
      <c r="E201" s="28">
        <f t="shared" si="8"/>
        <v>20</v>
      </c>
      <c r="F201" s="32"/>
      <c r="G201" s="45">
        <f>SUMIF($B$95:$B$198,"FGS-2",$G$95:$G$198)</f>
        <v>42821.42</v>
      </c>
      <c r="H201" s="45">
        <f>SUMIF($B$95:$B$198,"FGS-2",$H$95:$H$198)</f>
        <v>16995.2</v>
      </c>
      <c r="I201" s="71">
        <f>SUMIF($B$95:$B$198,"FGS-2",$I$95:$I$198)</f>
        <v>59816.619999999988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58" t="s">
        <v>96</v>
      </c>
      <c r="B202" s="59" t="s">
        <v>97</v>
      </c>
      <c r="C202" s="28">
        <f>SUMIFS($E$95:$E$198,$B$95:$B$198,"FGS-3",$D$95:$D$198,"&lt;&gt;VAGO")</f>
        <v>31</v>
      </c>
      <c r="D202" s="28">
        <f>SUMIFS($E$95:$E$198,$B$95:$B$198,"FGS-3",$D$95:$D$198,"VAGO")</f>
        <v>1</v>
      </c>
      <c r="E202" s="28">
        <f t="shared" si="8"/>
        <v>32</v>
      </c>
      <c r="F202" s="32"/>
      <c r="G202" s="45">
        <f>SUMIF($B$95:$B$198,"FGS-3",$G$95:$G$198)</f>
        <v>35036.65</v>
      </c>
      <c r="H202" s="45">
        <f>SUMIF($B$95:$B$198,"FGS-3",$H$95:$H$198)</f>
        <v>18387.8</v>
      </c>
      <c r="I202" s="71">
        <f>SUMIF($B$95:$B$198,"FGS-3",$I$95:$I$198)</f>
        <v>53424.450000000012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60" t="s">
        <v>98</v>
      </c>
      <c r="B203" s="61" t="s">
        <v>99</v>
      </c>
      <c r="C203" s="28">
        <f>SUMIFS($E$95:$E$198,$B$95:$B$198,"FGA-1",$D$95:$D$198,"&lt;&gt;VAGO")</f>
        <v>5</v>
      </c>
      <c r="D203" s="28">
        <f>SUMIFS($E$95:$E$198,$B$95:$B$198,"FGA-1",$D$95:$D$198,"VAGO")</f>
        <v>0</v>
      </c>
      <c r="E203" s="28">
        <f t="shared" si="8"/>
        <v>5</v>
      </c>
      <c r="F203" s="34"/>
      <c r="G203" s="45">
        <f>SUMIF($B$95:$B$198,"FGA-1",$G$95:$G$198)</f>
        <v>5171.2</v>
      </c>
      <c r="H203" s="45">
        <f>SUMIF($B$95:$B$198,"FGA-1",$H$95:$H$198)</f>
        <v>2529.0500000000002</v>
      </c>
      <c r="I203" s="71">
        <f>SUMIF($B$95:$B$198,"FGA-1",$I$95:$I$198)</f>
        <v>7700.25</v>
      </c>
      <c r="J203" s="21"/>
      <c r="K203" s="21"/>
      <c r="L203" s="21"/>
      <c r="M203" s="21"/>
      <c r="N203" s="21"/>
      <c r="O203" s="21"/>
      <c r="P203" s="21"/>
      <c r="Q203" s="21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100</v>
      </c>
      <c r="B204" s="59" t="s">
        <v>101</v>
      </c>
      <c r="C204" s="28">
        <f>SUMIFS($E$95:$E$198,$B$95:$B$198,"FGA-2",$D$95:$D$198,"&lt;&gt;VAGO")</f>
        <v>2</v>
      </c>
      <c r="D204" s="28">
        <f>SUMIFS($E$95:$E$198,$B$95:$B$198,"FGA-2",$D$95:$D$198,"VAGO")</f>
        <v>0</v>
      </c>
      <c r="E204" s="28">
        <f t="shared" si="8"/>
        <v>2</v>
      </c>
      <c r="F204" s="34"/>
      <c r="G204" s="45">
        <f>SUMIF($B$95:$B$198,"FGA-2",$G$95:$G$198)</f>
        <v>2340.46</v>
      </c>
      <c r="H204" s="45">
        <f>SUMIF($B$95:$B$198,"FGA-2",$H$95:$H$198)</f>
        <v>1315.1100000000001</v>
      </c>
      <c r="I204" s="71">
        <f>SUMIF($B$95:$B$198,"FGA-2",$I$95:$I$198)</f>
        <v>3655.57</v>
      </c>
      <c r="J204" s="21"/>
      <c r="K204" s="21"/>
      <c r="L204" s="21"/>
      <c r="M204" s="21"/>
      <c r="N204" s="21"/>
      <c r="O204" s="21"/>
      <c r="P204" s="21"/>
      <c r="Q204" s="21"/>
      <c r="R204" s="40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1:30" x14ac:dyDescent="0.2">
      <c r="A205" s="58" t="s">
        <v>102</v>
      </c>
      <c r="B205" s="59" t="s">
        <v>103</v>
      </c>
      <c r="C205" s="28">
        <f>SUMIFS($E$95:$E$198,$B$95:$B$198,"FGA-3",$D$95:$D$198,"&lt;&gt;VAGO")</f>
        <v>1</v>
      </c>
      <c r="D205" s="28">
        <f>SUMIFS($E$95:$E$198,$B$95:$B$198,"FGA-3",$D$95:$D$198,"VAGO")</f>
        <v>0</v>
      </c>
      <c r="E205" s="28">
        <f t="shared" si="8"/>
        <v>1</v>
      </c>
      <c r="F205" s="32"/>
      <c r="G205" s="45">
        <f>SUMIF($B$95:$B$198,"FGA-3",$G$95:$G$198)</f>
        <v>1509.2</v>
      </c>
      <c r="H205" s="45">
        <f>SUMIF($B$95:$B$198,"FGA-3",$H$95:$H$198)</f>
        <v>364.17</v>
      </c>
      <c r="I205" s="71">
        <f>SUMIF($B$95:$B$198,"FGA-3",$I$95:$I$198)</f>
        <v>1873.3700000000001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0" x14ac:dyDescent="0.2">
      <c r="A206" s="63" t="s">
        <v>104</v>
      </c>
      <c r="B206" s="48"/>
      <c r="C206" s="35">
        <f t="shared" ref="C206:E206" si="9">SUM(C200:C205)</f>
        <v>102</v>
      </c>
      <c r="D206" s="35">
        <f t="shared" si="9"/>
        <v>2</v>
      </c>
      <c r="E206" s="35">
        <f t="shared" si="9"/>
        <v>104</v>
      </c>
      <c r="F206" s="48"/>
      <c r="G206" s="51">
        <f t="shared" ref="G206:I206" si="10">SUM(G200:G205)</f>
        <v>108119.03999999999</v>
      </c>
      <c r="H206" s="51">
        <f t="shared" si="10"/>
        <v>99481.730000000054</v>
      </c>
      <c r="I206" s="51">
        <f t="shared" si="10"/>
        <v>207600.77</v>
      </c>
      <c r="J206" s="21"/>
      <c r="K206" s="21"/>
      <c r="L206" s="21"/>
      <c r="M206" s="21"/>
      <c r="N206" s="21"/>
      <c r="O206" s="21"/>
      <c r="P206" s="21"/>
      <c r="Q206" s="21"/>
      <c r="R206" s="49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spans="1:30" ht="33" customHeight="1" x14ac:dyDescent="0.2">
      <c r="A207" s="37"/>
      <c r="B207" s="37"/>
      <c r="C207" s="37"/>
      <c r="D207" s="37"/>
      <c r="E207" s="37"/>
      <c r="F207" s="37"/>
      <c r="G207" s="37"/>
      <c r="H207" s="37"/>
      <c r="I207" s="62"/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45" x14ac:dyDescent="0.2">
      <c r="A208" s="63"/>
      <c r="B208" s="63"/>
      <c r="C208" s="35" t="s">
        <v>105</v>
      </c>
      <c r="D208" s="35" t="s">
        <v>106</v>
      </c>
      <c r="E208" s="35" t="s">
        <v>107</v>
      </c>
      <c r="F208" s="25"/>
      <c r="G208" s="35" t="s">
        <v>108</v>
      </c>
      <c r="H208" s="35" t="s">
        <v>109</v>
      </c>
      <c r="I208" s="35" t="s">
        <v>110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x14ac:dyDescent="0.2">
      <c r="A209" s="63" t="s">
        <v>111</v>
      </c>
      <c r="B209" s="25"/>
      <c r="C209" s="35">
        <f>SUM(C39+C91+C206)</f>
        <v>154</v>
      </c>
      <c r="D209" s="35">
        <f>SUM(D39+D91+D206)</f>
        <v>12</v>
      </c>
      <c r="E209" s="35">
        <f>SUM(E39+E91+E206)</f>
        <v>166</v>
      </c>
      <c r="F209" s="25"/>
      <c r="G209" s="51">
        <f>SUM(H39+G91+G206)</f>
        <v>191661.5</v>
      </c>
      <c r="H209" s="51">
        <f>SUM(I39+H91+H206)</f>
        <v>307345.98000000004</v>
      </c>
      <c r="I209" s="51">
        <f>SUM(J39+I91+I206)</f>
        <v>517007.48</v>
      </c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ht="30" customHeight="1" x14ac:dyDescent="0.2">
      <c r="A210" s="37"/>
      <c r="B210" s="37"/>
      <c r="C210" s="37"/>
      <c r="D210" s="37"/>
      <c r="E210" s="37"/>
      <c r="F210" s="37"/>
      <c r="G210" s="37"/>
      <c r="H210" s="37"/>
      <c r="I210" s="62"/>
      <c r="J210" s="62"/>
      <c r="K210" s="7"/>
      <c r="L210" s="62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">
      <c r="A211" s="100" t="s">
        <v>112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21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113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1" t="s">
        <v>482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483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481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ht="15" customHeight="1" x14ac:dyDescent="0.2">
      <c r="A216" s="102" t="s">
        <v>480</v>
      </c>
      <c r="B216" s="93"/>
      <c r="C216" s="93"/>
      <c r="D216" s="93"/>
      <c r="E216" s="93"/>
      <c r="F216" s="94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3"/>
      <c r="B217" s="96"/>
      <c r="C217" s="96"/>
      <c r="D217" s="96"/>
      <c r="E217" s="96"/>
      <c r="F217" s="96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0" t="s">
        <v>114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104" t="s">
        <v>115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116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117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118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119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120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121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122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123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124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125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126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127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128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129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130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131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132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133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134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135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136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137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40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1:30" x14ac:dyDescent="0.2">
      <c r="A242" s="92" t="s">
        <v>138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139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140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141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142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143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144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145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146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147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148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149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150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151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152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153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154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x14ac:dyDescent="0.2">
      <c r="A259" s="92" t="s">
        <v>155</v>
      </c>
      <c r="B259" s="93"/>
      <c r="C259" s="93"/>
      <c r="D259" s="93"/>
      <c r="E259" s="93"/>
      <c r="F259" s="94"/>
      <c r="G259" s="21"/>
      <c r="H259" s="37"/>
      <c r="I259" s="37"/>
      <c r="J259" s="37"/>
      <c r="K259" s="37"/>
      <c r="L259" s="37"/>
      <c r="M259" s="62"/>
      <c r="N259" s="62"/>
      <c r="O259" s="62"/>
      <c r="P259" s="62"/>
      <c r="Q259" s="62"/>
      <c r="R259" s="64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156</v>
      </c>
      <c r="B260" s="93"/>
      <c r="C260" s="93"/>
      <c r="D260" s="93"/>
      <c r="E260" s="93"/>
      <c r="F260" s="94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157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158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159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160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161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162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163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164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165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166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167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168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169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170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171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172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173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174</v>
      </c>
      <c r="B278" s="93"/>
      <c r="C278" s="93"/>
      <c r="D278" s="93"/>
      <c r="E278" s="93"/>
      <c r="F278" s="94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92" t="s">
        <v>175</v>
      </c>
      <c r="B279" s="93"/>
      <c r="C279" s="93"/>
      <c r="D279" s="93"/>
      <c r="E279" s="93"/>
      <c r="F279" s="94"/>
      <c r="G279" s="68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</row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</sheetData>
  <mergeCells count="76">
    <mergeCell ref="A41:I41"/>
    <mergeCell ref="A1:J1"/>
    <mergeCell ref="A2:J2"/>
    <mergeCell ref="A3:J3"/>
    <mergeCell ref="B4:J4"/>
    <mergeCell ref="A5:J5"/>
    <mergeCell ref="A221:F221"/>
    <mergeCell ref="A93:I93"/>
    <mergeCell ref="A211:F211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20:F220"/>
    <mergeCell ref="A233:F233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32:F232"/>
    <mergeCell ref="A245:F245"/>
    <mergeCell ref="A234:F234"/>
    <mergeCell ref="A235:F235"/>
    <mergeCell ref="A236:F236"/>
    <mergeCell ref="A237:F237"/>
    <mergeCell ref="A238:F238"/>
    <mergeCell ref="A239:F239"/>
    <mergeCell ref="A240:F240"/>
    <mergeCell ref="A241:F241"/>
    <mergeCell ref="A242:F242"/>
    <mergeCell ref="A243:F243"/>
    <mergeCell ref="A244:F244"/>
    <mergeCell ref="A257:F257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F255"/>
    <mergeCell ref="A256:F256"/>
    <mergeCell ref="A269:F269"/>
    <mergeCell ref="A258:F258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68:F268"/>
    <mergeCell ref="A276:F276"/>
    <mergeCell ref="A277:F277"/>
    <mergeCell ref="A278:F278"/>
    <mergeCell ref="A279:F279"/>
    <mergeCell ref="A270:F270"/>
    <mergeCell ref="A271:F271"/>
    <mergeCell ref="A272:F272"/>
    <mergeCell ref="A273:F273"/>
    <mergeCell ref="A274:F274"/>
    <mergeCell ref="A275:F275"/>
  </mergeCells>
  <dataValidations count="4">
    <dataValidation type="list" allowBlank="1" sqref="B7:B26">
      <formula1>"DAS,DAS-1,DAS-2,DAS-3,DAS-4,DAS-5,CAA-1,CAA-2,CAA-3,CAA-4,CAA-5"</formula1>
    </dataValidation>
    <dataValidation type="list" allowBlank="1" sqref="B95:B198">
      <formula1>"FGS-1,FGS-2,FGS-3,FGA-1,FGA-2,FGA-3"</formula1>
    </dataValidation>
    <dataValidation type="list" allowBlank="1" sqref="D95:D198 D43:D84 D7:D26">
      <formula1>"AGP,CLH,CLT,COM,CTD,CTI,DES,DISP,ELE,ESG,EST,EXM,EXQ,EXR,FRQ,REV,VAGO"</formula1>
    </dataValidation>
    <dataValidation type="list" allowBlank="1" sqref="B43:B84">
      <formula1>"FDA,FDA-1,FDA-2,FDA-3,FDA-4"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9"/>
  <sheetViews>
    <sheetView zoomScale="70" zoomScaleNormal="70" workbookViewId="0">
      <selection activeCell="C34" sqref="C34"/>
    </sheetView>
  </sheetViews>
  <sheetFormatPr defaultColWidth="12.625" defaultRowHeight="15" customHeight="1" x14ac:dyDescent="0.2"/>
  <cols>
    <col min="1" max="1" width="69.75" style="81" bestFit="1" customWidth="1"/>
    <col min="2" max="2" width="9.75" style="81" bestFit="1" customWidth="1"/>
    <col min="3" max="3" width="24" style="81" bestFit="1" customWidth="1"/>
    <col min="4" max="4" width="12.25" style="81" bestFit="1" customWidth="1"/>
    <col min="5" max="5" width="9.25" style="81" bestFit="1" customWidth="1"/>
    <col min="6" max="6" width="44.125" style="81" bestFit="1" customWidth="1"/>
    <col min="7" max="7" width="17.5" style="81" bestFit="1" customWidth="1"/>
    <col min="8" max="8" width="17.875" style="81" bestFit="1" customWidth="1"/>
    <col min="9" max="9" width="17.875" style="81" customWidth="1"/>
    <col min="10" max="10" width="11.75" style="81" bestFit="1" customWidth="1"/>
    <col min="11" max="16" width="8" style="81" customWidth="1"/>
    <col min="17" max="17" width="43.875" style="81" customWidth="1"/>
    <col min="18" max="30" width="8" style="81" customWidth="1"/>
    <col min="31" max="16384" width="12.625" style="81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502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2" t="s">
        <v>182</v>
      </c>
      <c r="B8" s="57" t="s">
        <v>41</v>
      </c>
      <c r="C8" s="57" t="s">
        <v>178</v>
      </c>
      <c r="D8" s="57" t="s">
        <v>183</v>
      </c>
      <c r="E8" s="46">
        <v>1</v>
      </c>
      <c r="F8" s="47" t="s">
        <v>183</v>
      </c>
      <c r="G8" s="44">
        <v>0</v>
      </c>
      <c r="H8" s="44">
        <v>0</v>
      </c>
      <c r="I8" s="44">
        <v>0</v>
      </c>
      <c r="J8" s="45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7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184</v>
      </c>
      <c r="B11" s="57" t="s">
        <v>43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185</v>
      </c>
      <c r="B12" s="57" t="s">
        <v>33</v>
      </c>
      <c r="C12" s="57" t="s">
        <v>178</v>
      </c>
      <c r="D12" s="57" t="s">
        <v>183</v>
      </c>
      <c r="E12" s="46">
        <v>1</v>
      </c>
      <c r="F12" s="47" t="s">
        <v>183</v>
      </c>
      <c r="G12" s="44">
        <v>0</v>
      </c>
      <c r="H12" s="44">
        <v>0</v>
      </c>
      <c r="I12" s="44">
        <v>0</v>
      </c>
      <c r="J12" s="45">
        <f t="shared" si="0"/>
        <v>0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186</v>
      </c>
      <c r="B13" s="57" t="s">
        <v>39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187</v>
      </c>
      <c r="B14" s="57" t="s">
        <v>37</v>
      </c>
      <c r="C14" s="57" t="s">
        <v>178</v>
      </c>
      <c r="D14" s="57" t="s">
        <v>188</v>
      </c>
      <c r="E14" s="46">
        <v>1</v>
      </c>
      <c r="F14" s="47" t="s">
        <v>213</v>
      </c>
      <c r="G14" s="44">
        <v>0</v>
      </c>
      <c r="H14" s="44">
        <v>0</v>
      </c>
      <c r="I14" s="44">
        <v>3083.01</v>
      </c>
      <c r="J14" s="45">
        <f t="shared" si="0"/>
        <v>3083.01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189</v>
      </c>
      <c r="B15" s="57" t="s">
        <v>39</v>
      </c>
      <c r="C15" s="57" t="s">
        <v>190</v>
      </c>
      <c r="D15" s="57" t="s">
        <v>183</v>
      </c>
      <c r="E15" s="46">
        <v>1</v>
      </c>
      <c r="F15" s="47" t="s">
        <v>183</v>
      </c>
      <c r="G15" s="44">
        <v>0</v>
      </c>
      <c r="H15" s="44">
        <v>0</v>
      </c>
      <c r="I15" s="44">
        <v>0</v>
      </c>
      <c r="J15" s="45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191</v>
      </c>
      <c r="B16" s="57" t="s">
        <v>25</v>
      </c>
      <c r="C16" s="57" t="s">
        <v>192</v>
      </c>
      <c r="D16" s="57" t="s">
        <v>181</v>
      </c>
      <c r="E16" s="46">
        <v>1</v>
      </c>
      <c r="F16" s="47" t="s">
        <v>214</v>
      </c>
      <c r="G16" s="44">
        <v>0</v>
      </c>
      <c r="H16" s="44">
        <v>0</v>
      </c>
      <c r="I16" s="44">
        <v>10400</v>
      </c>
      <c r="J16" s="45">
        <f t="shared" si="0"/>
        <v>10400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72" t="s">
        <v>499</v>
      </c>
      <c r="B17" s="57" t="s">
        <v>25</v>
      </c>
      <c r="C17" s="73" t="s">
        <v>178</v>
      </c>
      <c r="D17" s="73" t="s">
        <v>199</v>
      </c>
      <c r="E17" s="46">
        <v>1</v>
      </c>
      <c r="F17" s="72" t="s">
        <v>500</v>
      </c>
      <c r="G17" s="44">
        <v>0</v>
      </c>
      <c r="H17" s="44">
        <v>15956.74</v>
      </c>
      <c r="I17" s="44">
        <v>10053.33</v>
      </c>
      <c r="J17" s="45">
        <f t="shared" si="0"/>
        <v>26010.07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57" t="s">
        <v>188</v>
      </c>
      <c r="E19" s="46">
        <v>1</v>
      </c>
      <c r="F19" s="47" t="s">
        <v>486</v>
      </c>
      <c r="G19" s="44">
        <v>0</v>
      </c>
      <c r="H19" s="44">
        <v>0</v>
      </c>
      <c r="I19" s="44">
        <v>4316.21</v>
      </c>
      <c r="J19" s="45">
        <f t="shared" si="0"/>
        <v>4316.21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181</v>
      </c>
      <c r="E21" s="46">
        <v>1</v>
      </c>
      <c r="F21" s="72" t="s">
        <v>497</v>
      </c>
      <c r="G21" s="44">
        <v>0</v>
      </c>
      <c r="H21" s="44">
        <v>0</v>
      </c>
      <c r="I21" s="44">
        <v>3083.01</v>
      </c>
      <c r="J21" s="45">
        <f t="shared" si="0"/>
        <v>3083.01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181</v>
      </c>
      <c r="E22" s="46">
        <v>1</v>
      </c>
      <c r="F22" s="47" t="s">
        <v>498</v>
      </c>
      <c r="G22" s="44">
        <v>0</v>
      </c>
      <c r="H22" s="44">
        <v>0</v>
      </c>
      <c r="I22" s="44">
        <v>4316.21</v>
      </c>
      <c r="J22" s="45">
        <f t="shared" si="0"/>
        <v>4316.21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57" t="s">
        <v>199</v>
      </c>
      <c r="E23" s="46">
        <v>1</v>
      </c>
      <c r="F23" s="72" t="s">
        <v>489</v>
      </c>
      <c r="G23" s="44">
        <v>0</v>
      </c>
      <c r="H23" s="44">
        <v>1509.2</v>
      </c>
      <c r="I23" s="44">
        <v>3083.01</v>
      </c>
      <c r="J23" s="45">
        <f t="shared" si="0"/>
        <v>4592.21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188</v>
      </c>
      <c r="E26" s="46">
        <v>1</v>
      </c>
      <c r="F26" s="72" t="s">
        <v>501</v>
      </c>
      <c r="G26" s="44">
        <v>0</v>
      </c>
      <c r="H26" s="44">
        <v>1266.5999999999999</v>
      </c>
      <c r="I26" s="44">
        <v>5066.41</v>
      </c>
      <c r="J26" s="45">
        <f t="shared" si="0"/>
        <v>6333.01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2</v>
      </c>
      <c r="D29" s="28">
        <f>SUMIFS($E$7:$E$26,$B$7:$B$26,"DAS-1",$D$7:$D$26,"VAGO")</f>
        <v>0</v>
      </c>
      <c r="E29" s="28">
        <f t="shared" si="1"/>
        <v>2</v>
      </c>
      <c r="F29" s="32"/>
      <c r="G29" s="30">
        <f>SUMIF($B$7:$B$26,"DAS-1",$G$7:$G$26)</f>
        <v>0</v>
      </c>
      <c r="H29" s="30">
        <f>SUMIF($B$7:$B$26,"DAS-1",$H$7:$H$26)</f>
        <v>15956.74</v>
      </c>
      <c r="I29" s="30">
        <f>SUMIF($B$7:$B$26,"DAS-1",$I$7:$I$26)</f>
        <v>20453.330000000002</v>
      </c>
      <c r="J29" s="30">
        <f>SUMIF($B$7:$B$26,"DAS-1",$J$7:$J$26)</f>
        <v>36410.07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0</v>
      </c>
      <c r="D31" s="28">
        <f>SUMIFS($E$7:$E$26,$B$7:$B$26,"DAS-3",$D$7:$D$26,"VAGO")</f>
        <v>0</v>
      </c>
      <c r="E31" s="28">
        <f t="shared" si="1"/>
        <v>0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0</v>
      </c>
      <c r="J31" s="30">
        <f>SUMIF($B$7:$B$26,"DAS-3",$J$7:$J$26)</f>
        <v>0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1</v>
      </c>
      <c r="D32" s="28">
        <f>SUMIFS($E$7:$E$26,$B$7:$B$26,"DAS-4",$D$7:$D$26,"VAGO")</f>
        <v>0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1266.5999999999999</v>
      </c>
      <c r="I32" s="30">
        <f>SUMIF($B$7:$B$26,"DAS-4",$I$7:$I$26)</f>
        <v>5066.41</v>
      </c>
      <c r="J32" s="30">
        <f>SUMIF($B$7:$B$26,"DAS-4",$J$7:$J$26)</f>
        <v>6333.01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4</v>
      </c>
      <c r="D33" s="28">
        <f>SUMIFS($E$7:$E$26,$B$7:$B$26,"DAS-5",$D$7:$D$26,"VAGO")</f>
        <v>1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1109.1600000000001</v>
      </c>
      <c r="I33" s="30">
        <f>SUMIF($B$7:$B$26,"DAS-5",$I$7:$I$26)</f>
        <v>17264.84</v>
      </c>
      <c r="J33" s="30">
        <f>SUMIF($B$7:$B$26,"DAS-5",$J$7:$J$26)</f>
        <v>18374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4</v>
      </c>
      <c r="D35" s="28">
        <f>SUMIFS($E$7:$E$26,$B$7:$B$26,"CAA-2",$D$7:$D$26,"VAGO")</f>
        <v>1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26441.64</v>
      </c>
      <c r="I35" s="30">
        <f>SUMIF($B$7:$B$26,"CAA-2",$I$7:$I$26)</f>
        <v>12332.04</v>
      </c>
      <c r="J35" s="30">
        <f>SUMIF($B$7:$B$26,"CAA-2",$J$7:$J$26)</f>
        <v>38773.679999999993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12</v>
      </c>
      <c r="D39" s="35">
        <f>SUM(D28:D38)</f>
        <v>8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44774.14</v>
      </c>
      <c r="I39" s="36">
        <f t="shared" si="2"/>
        <v>55116.62</v>
      </c>
      <c r="J39" s="36">
        <f t="shared" si="2"/>
        <v>117890.76</v>
      </c>
      <c r="K39" s="37"/>
      <c r="L39" s="37"/>
      <c r="M39" s="37"/>
      <c r="N39" s="37"/>
      <c r="O39" s="37"/>
      <c r="P39" s="37"/>
      <c r="Q39" s="37"/>
    </row>
    <row r="40" spans="1:30" ht="45.75" customHeight="1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4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180</v>
      </c>
      <c r="B44" s="42" t="s">
        <v>66</v>
      </c>
      <c r="C44" s="57" t="s">
        <v>178</v>
      </c>
      <c r="D44" s="57" t="s">
        <v>181</v>
      </c>
      <c r="E44" s="46">
        <v>1</v>
      </c>
      <c r="F44" s="72" t="s">
        <v>306</v>
      </c>
      <c r="G44" s="44">
        <v>0</v>
      </c>
      <c r="H44" s="44">
        <v>5688.14</v>
      </c>
      <c r="I44" s="45">
        <f t="shared" si="3"/>
        <v>5688.14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72" t="s">
        <v>222</v>
      </c>
      <c r="B45" s="42" t="s">
        <v>68</v>
      </c>
      <c r="C45" s="57" t="s">
        <v>223</v>
      </c>
      <c r="D45" s="57" t="s">
        <v>199</v>
      </c>
      <c r="E45" s="46">
        <v>1</v>
      </c>
      <c r="F45" s="43" t="s">
        <v>301</v>
      </c>
      <c r="G45" s="44">
        <v>16704.73</v>
      </c>
      <c r="H45" s="44">
        <v>5241.1099999999997</v>
      </c>
      <c r="I45" s="45">
        <f t="shared" si="3"/>
        <v>21945.84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224</v>
      </c>
      <c r="B46" s="42" t="s">
        <v>72</v>
      </c>
      <c r="C46" s="57" t="s">
        <v>225</v>
      </c>
      <c r="D46" s="57" t="s">
        <v>181</v>
      </c>
      <c r="E46" s="46">
        <v>1</v>
      </c>
      <c r="F46" s="47" t="s">
        <v>302</v>
      </c>
      <c r="G46" s="44">
        <v>0</v>
      </c>
      <c r="H46" s="44">
        <v>3083.01</v>
      </c>
      <c r="I46" s="45">
        <f t="shared" si="3"/>
        <v>3083.01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226</v>
      </c>
      <c r="B47" s="42" t="s">
        <v>66</v>
      </c>
      <c r="C47" s="57" t="s">
        <v>227</v>
      </c>
      <c r="D47" s="57" t="s">
        <v>181</v>
      </c>
      <c r="E47" s="46">
        <v>1</v>
      </c>
      <c r="F47" s="47" t="s">
        <v>303</v>
      </c>
      <c r="G47" s="44">
        <v>0</v>
      </c>
      <c r="H47" s="44">
        <v>5703.56</v>
      </c>
      <c r="I47" s="45">
        <f t="shared" si="3"/>
        <v>5703.56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228</v>
      </c>
      <c r="B48" s="42" t="s">
        <v>72</v>
      </c>
      <c r="C48" s="57" t="s">
        <v>229</v>
      </c>
      <c r="D48" s="57" t="s">
        <v>181</v>
      </c>
      <c r="E48" s="46">
        <v>1</v>
      </c>
      <c r="F48" s="47" t="s">
        <v>304</v>
      </c>
      <c r="G48" s="44">
        <v>0</v>
      </c>
      <c r="H48" s="44">
        <v>3083.01</v>
      </c>
      <c r="I48" s="45">
        <f t="shared" si="3"/>
        <v>3083.01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230</v>
      </c>
      <c r="B49" s="42" t="s">
        <v>68</v>
      </c>
      <c r="C49" s="57" t="s">
        <v>231</v>
      </c>
      <c r="D49" s="57" t="s">
        <v>199</v>
      </c>
      <c r="E49" s="46">
        <v>1</v>
      </c>
      <c r="F49" s="47" t="s">
        <v>305</v>
      </c>
      <c r="G49" s="44">
        <v>16704.73</v>
      </c>
      <c r="H49" s="44">
        <v>5241.1099999999997</v>
      </c>
      <c r="I49" s="45">
        <f t="shared" si="3"/>
        <v>21945.84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232</v>
      </c>
      <c r="B50" s="42" t="s">
        <v>68</v>
      </c>
      <c r="C50" s="57" t="s">
        <v>233</v>
      </c>
      <c r="D50" s="57" t="s">
        <v>199</v>
      </c>
      <c r="E50" s="46">
        <v>1</v>
      </c>
      <c r="F50" s="72" t="s">
        <v>494</v>
      </c>
      <c r="G50" s="44">
        <v>1509.2</v>
      </c>
      <c r="H50" s="44">
        <v>5241.1099999999997</v>
      </c>
      <c r="I50" s="45">
        <f t="shared" si="3"/>
        <v>6750.3099999999995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234</v>
      </c>
      <c r="B51" s="42" t="s">
        <v>68</v>
      </c>
      <c r="C51" s="57" t="s">
        <v>223</v>
      </c>
      <c r="D51" s="57" t="s">
        <v>199</v>
      </c>
      <c r="E51" s="46">
        <v>1</v>
      </c>
      <c r="F51" s="83" t="s">
        <v>504</v>
      </c>
      <c r="G51" s="44">
        <v>809.06</v>
      </c>
      <c r="H51" s="44">
        <v>5241.1099999999997</v>
      </c>
      <c r="I51" s="45">
        <f t="shared" si="3"/>
        <v>6050.17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235</v>
      </c>
      <c r="B52" s="42" t="s">
        <v>66</v>
      </c>
      <c r="C52" s="57" t="s">
        <v>236</v>
      </c>
      <c r="D52" s="57" t="s">
        <v>181</v>
      </c>
      <c r="E52" s="46">
        <v>1</v>
      </c>
      <c r="F52" s="47" t="s">
        <v>308</v>
      </c>
      <c r="G52" s="44">
        <v>0</v>
      </c>
      <c r="H52" s="44">
        <v>5703.56</v>
      </c>
      <c r="I52" s="45">
        <f t="shared" si="3"/>
        <v>5703.56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237</v>
      </c>
      <c r="B53" s="42" t="s">
        <v>72</v>
      </c>
      <c r="C53" s="57" t="s">
        <v>238</v>
      </c>
      <c r="D53" s="57" t="s">
        <v>181</v>
      </c>
      <c r="E53" s="46">
        <v>1</v>
      </c>
      <c r="F53" s="47" t="s">
        <v>309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239</v>
      </c>
      <c r="B54" s="42" t="s">
        <v>72</v>
      </c>
      <c r="C54" s="57" t="s">
        <v>240</v>
      </c>
      <c r="D54" s="57" t="s">
        <v>181</v>
      </c>
      <c r="E54" s="46">
        <v>1</v>
      </c>
      <c r="F54" s="47" t="s">
        <v>310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241</v>
      </c>
      <c r="B55" s="42" t="s">
        <v>72</v>
      </c>
      <c r="C55" s="57" t="s">
        <v>242</v>
      </c>
      <c r="D55" s="57" t="s">
        <v>181</v>
      </c>
      <c r="E55" s="46">
        <v>1</v>
      </c>
      <c r="F55" s="47" t="s">
        <v>311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243</v>
      </c>
      <c r="B56" s="42" t="s">
        <v>72</v>
      </c>
      <c r="C56" s="57" t="s">
        <v>244</v>
      </c>
      <c r="D56" s="57" t="s">
        <v>181</v>
      </c>
      <c r="E56" s="46">
        <v>1</v>
      </c>
      <c r="F56" s="47" t="s">
        <v>312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245</v>
      </c>
      <c r="B57" s="42" t="s">
        <v>72</v>
      </c>
      <c r="C57" s="57" t="s">
        <v>246</v>
      </c>
      <c r="D57" s="57" t="s">
        <v>181</v>
      </c>
      <c r="E57" s="46">
        <v>1</v>
      </c>
      <c r="F57" s="47" t="s">
        <v>313</v>
      </c>
      <c r="G57" s="44">
        <v>0</v>
      </c>
      <c r="H57" s="44">
        <v>3083.01</v>
      </c>
      <c r="I57" s="45">
        <f t="shared" si="3"/>
        <v>3083.01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247</v>
      </c>
      <c r="B58" s="42" t="s">
        <v>66</v>
      </c>
      <c r="C58" s="57" t="s">
        <v>248</v>
      </c>
      <c r="D58" s="57" t="s">
        <v>181</v>
      </c>
      <c r="E58" s="46">
        <v>1</v>
      </c>
      <c r="F58" s="76" t="s">
        <v>317</v>
      </c>
      <c r="G58" s="44">
        <v>0</v>
      </c>
      <c r="H58" s="44">
        <v>5703.56</v>
      </c>
      <c r="I58" s="45">
        <f t="shared" si="3"/>
        <v>5703.56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249</v>
      </c>
      <c r="B59" s="42" t="s">
        <v>72</v>
      </c>
      <c r="C59" s="57" t="s">
        <v>250</v>
      </c>
      <c r="D59" s="57" t="s">
        <v>181</v>
      </c>
      <c r="E59" s="46">
        <v>1</v>
      </c>
      <c r="F59" s="47" t="s">
        <v>315</v>
      </c>
      <c r="G59" s="44">
        <v>0</v>
      </c>
      <c r="H59" s="44">
        <v>3083.01</v>
      </c>
      <c r="I59" s="45">
        <f t="shared" si="3"/>
        <v>3083.01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251</v>
      </c>
      <c r="B60" s="42" t="s">
        <v>72</v>
      </c>
      <c r="C60" s="57" t="s">
        <v>252</v>
      </c>
      <c r="D60" s="57" t="s">
        <v>199</v>
      </c>
      <c r="E60" s="46">
        <v>1</v>
      </c>
      <c r="F60" s="47" t="s">
        <v>316</v>
      </c>
      <c r="G60" s="44">
        <v>831.26</v>
      </c>
      <c r="H60" s="44">
        <v>3083.01</v>
      </c>
      <c r="I60" s="45">
        <f t="shared" si="3"/>
        <v>3914.2700000000004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253</v>
      </c>
      <c r="B61" s="42" t="s">
        <v>70</v>
      </c>
      <c r="C61" s="57" t="s">
        <v>254</v>
      </c>
      <c r="D61" s="77" t="s">
        <v>181</v>
      </c>
      <c r="E61" s="46">
        <v>1</v>
      </c>
      <c r="F61" s="76" t="s">
        <v>217</v>
      </c>
      <c r="G61" s="44">
        <v>0</v>
      </c>
      <c r="H61" s="44">
        <v>4316.21</v>
      </c>
      <c r="I61" s="45">
        <f t="shared" si="3"/>
        <v>4316.21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255</v>
      </c>
      <c r="B62" s="42" t="s">
        <v>72</v>
      </c>
      <c r="C62" s="57" t="s">
        <v>256</v>
      </c>
      <c r="D62" s="57" t="s">
        <v>181</v>
      </c>
      <c r="E62" s="46">
        <v>1</v>
      </c>
      <c r="F62" s="47" t="s">
        <v>318</v>
      </c>
      <c r="G62" s="44">
        <v>0</v>
      </c>
      <c r="H62" s="44">
        <v>3083.01</v>
      </c>
      <c r="I62" s="45">
        <f t="shared" si="3"/>
        <v>3083.01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257</v>
      </c>
      <c r="B63" s="42" t="s">
        <v>72</v>
      </c>
      <c r="C63" s="57" t="s">
        <v>258</v>
      </c>
      <c r="D63" s="57" t="s">
        <v>181</v>
      </c>
      <c r="E63" s="46">
        <v>1</v>
      </c>
      <c r="F63" s="47" t="s">
        <v>319</v>
      </c>
      <c r="G63" s="44">
        <v>0</v>
      </c>
      <c r="H63" s="44">
        <v>3083.01</v>
      </c>
      <c r="I63" s="45">
        <f t="shared" si="3"/>
        <v>3083.01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259</v>
      </c>
      <c r="B64" s="42" t="s">
        <v>66</v>
      </c>
      <c r="C64" s="57" t="s">
        <v>260</v>
      </c>
      <c r="D64" s="57" t="s">
        <v>181</v>
      </c>
      <c r="E64" s="46">
        <v>1</v>
      </c>
      <c r="F64" s="47" t="s">
        <v>320</v>
      </c>
      <c r="G64" s="44">
        <v>0</v>
      </c>
      <c r="H64" s="44">
        <v>5703.56</v>
      </c>
      <c r="I64" s="45">
        <f t="shared" si="3"/>
        <v>5703.56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261</v>
      </c>
      <c r="B65" s="42" t="s">
        <v>72</v>
      </c>
      <c r="C65" s="57" t="s">
        <v>262</v>
      </c>
      <c r="D65" s="57" t="s">
        <v>181</v>
      </c>
      <c r="E65" s="46">
        <v>1</v>
      </c>
      <c r="F65" s="47" t="s">
        <v>321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263</v>
      </c>
      <c r="B66" s="42" t="s">
        <v>72</v>
      </c>
      <c r="C66" s="57" t="s">
        <v>264</v>
      </c>
      <c r="D66" s="57" t="s">
        <v>181</v>
      </c>
      <c r="E66" s="46">
        <v>1</v>
      </c>
      <c r="F66" s="47" t="s">
        <v>322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265</v>
      </c>
      <c r="B67" s="42" t="s">
        <v>72</v>
      </c>
      <c r="C67" s="57" t="s">
        <v>266</v>
      </c>
      <c r="D67" s="57" t="s">
        <v>181</v>
      </c>
      <c r="E67" s="46">
        <v>1</v>
      </c>
      <c r="F67" s="47" t="s">
        <v>323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267</v>
      </c>
      <c r="B68" s="42" t="s">
        <v>72</v>
      </c>
      <c r="C68" s="57" t="s">
        <v>268</v>
      </c>
      <c r="D68" s="57" t="s">
        <v>181</v>
      </c>
      <c r="E68" s="46">
        <v>1</v>
      </c>
      <c r="F68" s="47" t="s">
        <v>324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269</v>
      </c>
      <c r="B69" s="42" t="s">
        <v>72</v>
      </c>
      <c r="C69" s="57" t="s">
        <v>270</v>
      </c>
      <c r="D69" s="57" t="s">
        <v>181</v>
      </c>
      <c r="E69" s="46">
        <v>1</v>
      </c>
      <c r="F69" s="47" t="s">
        <v>325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271</v>
      </c>
      <c r="B70" s="42" t="s">
        <v>72</v>
      </c>
      <c r="C70" s="57" t="s">
        <v>272</v>
      </c>
      <c r="D70" s="57" t="s">
        <v>181</v>
      </c>
      <c r="E70" s="46">
        <v>1</v>
      </c>
      <c r="F70" s="47" t="s">
        <v>326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273</v>
      </c>
      <c r="B71" s="42" t="s">
        <v>72</v>
      </c>
      <c r="C71" s="57" t="s">
        <v>274</v>
      </c>
      <c r="D71" s="57" t="s">
        <v>181</v>
      </c>
      <c r="E71" s="46">
        <v>1</v>
      </c>
      <c r="F71" s="47" t="s">
        <v>327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275</v>
      </c>
      <c r="B72" s="42" t="s">
        <v>72</v>
      </c>
      <c r="C72" s="57" t="s">
        <v>260</v>
      </c>
      <c r="D72" s="57" t="s">
        <v>181</v>
      </c>
      <c r="E72" s="46">
        <v>1</v>
      </c>
      <c r="F72" s="47" t="s">
        <v>328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276</v>
      </c>
      <c r="B73" s="42" t="s">
        <v>72</v>
      </c>
      <c r="C73" s="57" t="s">
        <v>277</v>
      </c>
      <c r="D73" s="57" t="s">
        <v>181</v>
      </c>
      <c r="E73" s="46">
        <v>1</v>
      </c>
      <c r="F73" s="47" t="s">
        <v>329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278</v>
      </c>
      <c r="B74" s="42" t="s">
        <v>72</v>
      </c>
      <c r="C74" s="57" t="s">
        <v>279</v>
      </c>
      <c r="D74" s="57" t="s">
        <v>181</v>
      </c>
      <c r="E74" s="46">
        <v>1</v>
      </c>
      <c r="F74" s="47" t="s">
        <v>330</v>
      </c>
      <c r="G74" s="44">
        <v>0</v>
      </c>
      <c r="H74" s="44">
        <v>3083.01</v>
      </c>
      <c r="I74" s="45">
        <f t="shared" si="3"/>
        <v>3083.01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280</v>
      </c>
      <c r="B75" s="42" t="s">
        <v>66</v>
      </c>
      <c r="C75" s="57" t="s">
        <v>281</v>
      </c>
      <c r="D75" s="57" t="s">
        <v>181</v>
      </c>
      <c r="E75" s="46">
        <v>1</v>
      </c>
      <c r="F75" s="47" t="s">
        <v>331</v>
      </c>
      <c r="G75" s="44">
        <v>0</v>
      </c>
      <c r="H75" s="44">
        <v>5703.56</v>
      </c>
      <c r="I75" s="45">
        <f t="shared" si="3"/>
        <v>5703.56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282</v>
      </c>
      <c r="B76" s="42" t="s">
        <v>72</v>
      </c>
      <c r="C76" s="57" t="s">
        <v>283</v>
      </c>
      <c r="D76" s="57" t="s">
        <v>181</v>
      </c>
      <c r="E76" s="46">
        <v>1</v>
      </c>
      <c r="F76" s="47" t="s">
        <v>332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284</v>
      </c>
      <c r="B77" s="42" t="s">
        <v>72</v>
      </c>
      <c r="C77" s="57" t="s">
        <v>285</v>
      </c>
      <c r="D77" s="57" t="s">
        <v>181</v>
      </c>
      <c r="E77" s="46">
        <v>1</v>
      </c>
      <c r="F77" s="47" t="s">
        <v>333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286</v>
      </c>
      <c r="B78" s="42" t="s">
        <v>72</v>
      </c>
      <c r="C78" s="57" t="s">
        <v>287</v>
      </c>
      <c r="D78" s="57" t="s">
        <v>181</v>
      </c>
      <c r="E78" s="46">
        <v>1</v>
      </c>
      <c r="F78" s="47" t="s">
        <v>334</v>
      </c>
      <c r="G78" s="44">
        <v>0</v>
      </c>
      <c r="H78" s="44">
        <v>3083.01</v>
      </c>
      <c r="I78" s="45">
        <f t="shared" si="3"/>
        <v>3083.01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288</v>
      </c>
      <c r="B79" s="42" t="s">
        <v>70</v>
      </c>
      <c r="C79" s="57" t="s">
        <v>289</v>
      </c>
      <c r="D79" s="57" t="s">
        <v>181</v>
      </c>
      <c r="E79" s="46">
        <v>1</v>
      </c>
      <c r="F79" s="47" t="s">
        <v>335</v>
      </c>
      <c r="G79" s="44">
        <v>0</v>
      </c>
      <c r="H79" s="44">
        <v>4316.21</v>
      </c>
      <c r="I79" s="45">
        <f t="shared" si="3"/>
        <v>4316.21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290</v>
      </c>
      <c r="B80" s="42" t="s">
        <v>66</v>
      </c>
      <c r="C80" s="57" t="s">
        <v>291</v>
      </c>
      <c r="D80" s="57" t="s">
        <v>181</v>
      </c>
      <c r="E80" s="46">
        <v>1</v>
      </c>
      <c r="F80" s="47" t="s">
        <v>336</v>
      </c>
      <c r="G80" s="44">
        <v>0</v>
      </c>
      <c r="H80" s="44">
        <v>5703.56</v>
      </c>
      <c r="I80" s="45">
        <f t="shared" si="3"/>
        <v>5703.56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292</v>
      </c>
      <c r="B81" s="42" t="s">
        <v>72</v>
      </c>
      <c r="C81" s="57" t="s">
        <v>293</v>
      </c>
      <c r="D81" s="57" t="s">
        <v>199</v>
      </c>
      <c r="E81" s="46">
        <v>1</v>
      </c>
      <c r="F81" s="47" t="s">
        <v>337</v>
      </c>
      <c r="G81" s="44">
        <v>1509.2</v>
      </c>
      <c r="H81" s="44">
        <v>3083.01</v>
      </c>
      <c r="I81" s="45">
        <f t="shared" si="3"/>
        <v>4592.21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294</v>
      </c>
      <c r="B82" s="42" t="s">
        <v>72</v>
      </c>
      <c r="C82" s="57" t="s">
        <v>295</v>
      </c>
      <c r="D82" s="73" t="s">
        <v>199</v>
      </c>
      <c r="E82" s="46">
        <v>1</v>
      </c>
      <c r="F82" s="47" t="s">
        <v>412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296</v>
      </c>
      <c r="B83" s="42" t="s">
        <v>72</v>
      </c>
      <c r="C83" s="57" t="s">
        <v>297</v>
      </c>
      <c r="D83" s="57" t="s">
        <v>199</v>
      </c>
      <c r="E83" s="46">
        <v>1</v>
      </c>
      <c r="F83" s="47" t="s">
        <v>338</v>
      </c>
      <c r="G83" s="44">
        <v>1509.2</v>
      </c>
      <c r="H83" s="44">
        <v>3083.01</v>
      </c>
      <c r="I83" s="45">
        <f t="shared" si="3"/>
        <v>4592.21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x14ac:dyDescent="0.2">
      <c r="A84" s="47" t="s">
        <v>298</v>
      </c>
      <c r="B84" s="42" t="s">
        <v>68</v>
      </c>
      <c r="C84" s="57" t="s">
        <v>299</v>
      </c>
      <c r="D84" s="57" t="s">
        <v>181</v>
      </c>
      <c r="E84" s="46">
        <v>1</v>
      </c>
      <c r="F84" s="47" t="s">
        <v>339</v>
      </c>
      <c r="G84" s="44">
        <v>0</v>
      </c>
      <c r="H84" s="44">
        <v>5241.1099999999997</v>
      </c>
      <c r="I84" s="45">
        <f t="shared" si="3"/>
        <v>5241.1099999999997</v>
      </c>
      <c r="J84" s="37"/>
      <c r="K84" s="21"/>
      <c r="L84" s="21"/>
      <c r="M84" s="21"/>
      <c r="N84" s="21"/>
      <c r="O84" s="21"/>
      <c r="P84" s="21"/>
      <c r="Q84" s="21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45" x14ac:dyDescent="0.2">
      <c r="A85" s="63" t="s">
        <v>55</v>
      </c>
      <c r="B85" s="63" t="s">
        <v>56</v>
      </c>
      <c r="C85" s="35" t="s">
        <v>57</v>
      </c>
      <c r="D85" s="35" t="s">
        <v>58</v>
      </c>
      <c r="E85" s="35" t="s">
        <v>59</v>
      </c>
      <c r="F85" s="48"/>
      <c r="G85" s="35" t="s">
        <v>60</v>
      </c>
      <c r="H85" s="35" t="s">
        <v>61</v>
      </c>
      <c r="I85" s="35" t="s">
        <v>62</v>
      </c>
      <c r="J85" s="37"/>
      <c r="K85" s="7"/>
      <c r="L85" s="7"/>
      <c r="M85" s="7"/>
      <c r="N85" s="7"/>
      <c r="O85" s="7"/>
      <c r="P85" s="7"/>
      <c r="Q85" s="7"/>
      <c r="R85" s="4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x14ac:dyDescent="0.2">
      <c r="A86" s="58" t="s">
        <v>63</v>
      </c>
      <c r="B86" s="59" t="s">
        <v>64</v>
      </c>
      <c r="C86" s="28">
        <f>SUMIFS($E$43:$E$84,$B$43:$B$84,"FDA",$D$43:$D$84,"&lt;&gt;VAGO")</f>
        <v>0</v>
      </c>
      <c r="D86" s="28">
        <f>SUMIFS($E$43:$E$84,$B$43:$B$84,"FDA",$D$43:$D$84,"VAGO")</f>
        <v>0</v>
      </c>
      <c r="E86" s="28">
        <f t="shared" ref="E86:E90" si="4">C86+D86</f>
        <v>0</v>
      </c>
      <c r="F86" s="29"/>
      <c r="G86" s="45">
        <f>SUMIF($B$43:$B$84,"FDA",$G$43:$G$84)</f>
        <v>0</v>
      </c>
      <c r="H86" s="45">
        <f>SUMIF($B$43:$B$84,"FDA",$H$43:$H$84)</f>
        <v>0</v>
      </c>
      <c r="I86" s="45">
        <f>SUMIF($B$43:$B$84,"FDA",$I$43:$I$84)</f>
        <v>0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65</v>
      </c>
      <c r="B87" s="59" t="s">
        <v>66</v>
      </c>
      <c r="C87" s="28">
        <f>SUMIFS($E$43:$E$84,$B$43:$B$84,"FDA-1",$D$43:$D$84,"&lt;&gt;VAGO")</f>
        <v>7</v>
      </c>
      <c r="D87" s="28">
        <f>SUMIFS($E$43:$E$84,$B$43:$B$84,"FDA-1",$D$43:$D$84,"VAGO")</f>
        <v>0</v>
      </c>
      <c r="E87" s="28">
        <f t="shared" si="4"/>
        <v>7</v>
      </c>
      <c r="F87" s="29"/>
      <c r="G87" s="45">
        <f>SUMIF($B$43:$B$84,"FDA-1",$G$43:$G$84)</f>
        <v>0</v>
      </c>
      <c r="H87" s="45">
        <f>SUMIF($B$43:$B$84,"FDA-1",$H$43:$H$84)</f>
        <v>39909.5</v>
      </c>
      <c r="I87" s="45">
        <f>SUMIF($B$43:$B$84,"FDA-1",$I$43:$I$84)</f>
        <v>39909.5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67</v>
      </c>
      <c r="B88" s="59" t="s">
        <v>68</v>
      </c>
      <c r="C88" s="28">
        <f>SUMIFS($E$43:$E$84,$B$43:$B$84,"FDA-2",$D$43:$D$84,"&lt;&gt;VAGO")</f>
        <v>6</v>
      </c>
      <c r="D88" s="28">
        <f>SUMIFS($E$43:$E$84,$B$43:$B$84,"FDA-2",$D$43:$D$84,"VAGO")</f>
        <v>0</v>
      </c>
      <c r="E88" s="28">
        <f t="shared" si="4"/>
        <v>6</v>
      </c>
      <c r="F88" s="32"/>
      <c r="G88" s="45">
        <f>SUMIF($B$43:$B$84,"FDA-2",$G$43:$G$84)</f>
        <v>35727.719999999994</v>
      </c>
      <c r="H88" s="45">
        <f>SUMIF($B$43:$B$84,"FDA-2",$H$43:$H$84)</f>
        <v>31446.66</v>
      </c>
      <c r="I88" s="45">
        <f>SUMIF($B$43:$B$84,"FDA-2",$I$43:$I$84)</f>
        <v>67174.37999999999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69</v>
      </c>
      <c r="B89" s="59" t="s">
        <v>70</v>
      </c>
      <c r="C89" s="28">
        <f>SUMIFS($E$43:$E$84,$B$43:$B$84,"FDA-3",$D$43:$D$84,"&lt;&gt;VAGO")</f>
        <v>2</v>
      </c>
      <c r="D89" s="28">
        <f>SUMIFS($E$43:$E$84,$B$43:$B$84,"FDA-3",$D$43:$D$84,"VAGO")</f>
        <v>0</v>
      </c>
      <c r="E89" s="28">
        <f t="shared" si="4"/>
        <v>2</v>
      </c>
      <c r="F89" s="34"/>
      <c r="G89" s="45">
        <f>SUMIF($B$43:$B$84,"FDA-3",$G$43:$G$84)</f>
        <v>0</v>
      </c>
      <c r="H89" s="45">
        <f>SUMIF($B$43:$B$84,"FDA-3",$H$43:$H$84)</f>
        <v>8632.42</v>
      </c>
      <c r="I89" s="45">
        <f>SUMIF($B$43:$B$84,"FDA-3",$I$43:$I$84)</f>
        <v>8632.42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x14ac:dyDescent="0.2">
      <c r="A90" s="58" t="s">
        <v>71</v>
      </c>
      <c r="B90" s="59" t="s">
        <v>72</v>
      </c>
      <c r="C90" s="28">
        <f>SUMIFS($E$43:$E$84,$B$43:$B$84,"FDA-4",$D$43:$D$84,"&lt;&gt;VAGO")</f>
        <v>27</v>
      </c>
      <c r="D90" s="28">
        <f>SUMIFS($E$43:$E$84,$B$43:$B$84,"FDA-4",$D$43:$D$84,"VAGO")</f>
        <v>0</v>
      </c>
      <c r="E90" s="28">
        <f t="shared" si="4"/>
        <v>27</v>
      </c>
      <c r="F90" s="32"/>
      <c r="G90" s="45">
        <f>SUMIF($B$43:$B$84,"FDA-4",$G$43:$G$84)</f>
        <v>5358.86</v>
      </c>
      <c r="H90" s="45">
        <f>SUMIF($B$43:$B$84,"FDA-4",$H$43:$H$84)</f>
        <v>83241.27</v>
      </c>
      <c r="I90" s="45">
        <f>SUMIF($B$43:$B$84,"FDA-4",$I$43:$I$84)</f>
        <v>88600.130000000019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30" x14ac:dyDescent="0.2">
      <c r="A91" s="63" t="s">
        <v>73</v>
      </c>
      <c r="B91" s="48"/>
      <c r="C91" s="35">
        <f t="shared" ref="C91:E91" si="5">SUM(C87:C90)</f>
        <v>42</v>
      </c>
      <c r="D91" s="35">
        <f t="shared" si="5"/>
        <v>0</v>
      </c>
      <c r="E91" s="35">
        <f t="shared" si="5"/>
        <v>42</v>
      </c>
      <c r="F91" s="48"/>
      <c r="G91" s="51">
        <f t="shared" ref="G91:I91" si="6">SUM(G86:G90)</f>
        <v>41086.579999999994</v>
      </c>
      <c r="H91" s="51">
        <f t="shared" si="6"/>
        <v>163229.85</v>
      </c>
      <c r="I91" s="51">
        <f t="shared" si="6"/>
        <v>204316.43</v>
      </c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45" customHeight="1" x14ac:dyDescent="0.2">
      <c r="A92" s="38"/>
      <c r="B92" s="38"/>
      <c r="C92" s="38"/>
      <c r="D92" s="38"/>
      <c r="E92" s="38"/>
      <c r="F92" s="38"/>
      <c r="G92" s="38"/>
      <c r="H92" s="38"/>
      <c r="I92" s="7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x14ac:dyDescent="0.2">
      <c r="A93" s="99" t="s">
        <v>74</v>
      </c>
      <c r="B93" s="93"/>
      <c r="C93" s="93"/>
      <c r="D93" s="93"/>
      <c r="E93" s="93"/>
      <c r="F93" s="93"/>
      <c r="G93" s="93"/>
      <c r="H93" s="93"/>
      <c r="I93" s="94"/>
      <c r="J93" s="21"/>
      <c r="K93" s="7"/>
      <c r="L93" s="21"/>
      <c r="M93" s="21"/>
      <c r="N93" s="21"/>
      <c r="O93" s="21"/>
      <c r="P93" s="21"/>
      <c r="Q93" s="2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30" x14ac:dyDescent="0.2">
      <c r="A94" s="52" t="s">
        <v>75</v>
      </c>
      <c r="B94" s="10" t="s">
        <v>76</v>
      </c>
      <c r="C94" s="10" t="s">
        <v>77</v>
      </c>
      <c r="D94" s="10" t="s">
        <v>78</v>
      </c>
      <c r="E94" s="10" t="s">
        <v>79</v>
      </c>
      <c r="F94" s="10" t="s">
        <v>80</v>
      </c>
      <c r="G94" s="10" t="s">
        <v>81</v>
      </c>
      <c r="H94" s="10" t="s">
        <v>82</v>
      </c>
      <c r="I94" s="10" t="s">
        <v>83</v>
      </c>
      <c r="J94" s="7"/>
      <c r="K94" s="7"/>
      <c r="L94" s="7"/>
      <c r="M94" s="7"/>
      <c r="N94" s="7"/>
      <c r="O94" s="7"/>
      <c r="P94" s="7"/>
      <c r="Q94" s="7"/>
      <c r="R94" s="40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">
      <c r="A95" s="56" t="s">
        <v>340</v>
      </c>
      <c r="B95" s="55" t="s">
        <v>93</v>
      </c>
      <c r="C95" s="55" t="s">
        <v>178</v>
      </c>
      <c r="D95" s="57" t="s">
        <v>181</v>
      </c>
      <c r="E95" s="46">
        <v>1</v>
      </c>
      <c r="F95" s="56" t="s">
        <v>374</v>
      </c>
      <c r="G95" s="44">
        <v>0</v>
      </c>
      <c r="H95" s="44">
        <v>1392.8</v>
      </c>
      <c r="I95" s="45">
        <f t="shared" ref="I95:I198" si="7">SUM(G95:H95)</f>
        <v>1392.8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341</v>
      </c>
      <c r="B96" s="55" t="s">
        <v>342</v>
      </c>
      <c r="C96" s="57" t="s">
        <v>178</v>
      </c>
      <c r="D96" s="57" t="s">
        <v>199</v>
      </c>
      <c r="E96" s="46">
        <v>1</v>
      </c>
      <c r="F96" s="47" t="s">
        <v>375</v>
      </c>
      <c r="G96" s="44">
        <v>831.13</v>
      </c>
      <c r="H96" s="44">
        <v>849.76</v>
      </c>
      <c r="I96" s="45">
        <f t="shared" si="7"/>
        <v>1680.8899999999999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343</v>
      </c>
      <c r="B97" s="55" t="s">
        <v>101</v>
      </c>
      <c r="C97" s="57" t="s">
        <v>178</v>
      </c>
      <c r="D97" s="57" t="s">
        <v>199</v>
      </c>
      <c r="E97" s="46">
        <v>1</v>
      </c>
      <c r="F97" s="43" t="s">
        <v>376</v>
      </c>
      <c r="G97" s="44">
        <v>831.26</v>
      </c>
      <c r="H97" s="44">
        <v>465.35</v>
      </c>
      <c r="I97" s="45">
        <f t="shared" si="7"/>
        <v>1296.6100000000001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340</v>
      </c>
      <c r="B98" s="55" t="s">
        <v>93</v>
      </c>
      <c r="C98" s="57" t="s">
        <v>223</v>
      </c>
      <c r="D98" s="57" t="s">
        <v>199</v>
      </c>
      <c r="E98" s="46">
        <v>1</v>
      </c>
      <c r="F98" s="43" t="s">
        <v>377</v>
      </c>
      <c r="G98" s="44">
        <v>844.27</v>
      </c>
      <c r="H98" s="44">
        <v>1392.8</v>
      </c>
      <c r="I98" s="45">
        <f t="shared" si="7"/>
        <v>2237.0699999999997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344</v>
      </c>
      <c r="B99" s="55" t="s">
        <v>345</v>
      </c>
      <c r="C99" s="57" t="s">
        <v>223</v>
      </c>
      <c r="D99" s="57" t="s">
        <v>199</v>
      </c>
      <c r="E99" s="46">
        <v>1</v>
      </c>
      <c r="F99" s="43" t="s">
        <v>378</v>
      </c>
      <c r="G99" s="44">
        <v>831.26</v>
      </c>
      <c r="H99" s="44">
        <v>505.81</v>
      </c>
      <c r="I99" s="45">
        <f t="shared" si="7"/>
        <v>1337.07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379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340</v>
      </c>
      <c r="B101" s="55" t="s">
        <v>93</v>
      </c>
      <c r="C101" s="57" t="s">
        <v>223</v>
      </c>
      <c r="D101" s="57" t="s">
        <v>181</v>
      </c>
      <c r="E101" s="46">
        <v>1</v>
      </c>
      <c r="F101" s="43" t="s">
        <v>380</v>
      </c>
      <c r="G101" s="44">
        <v>0</v>
      </c>
      <c r="H101" s="44">
        <v>1392.8</v>
      </c>
      <c r="I101" s="45">
        <f t="shared" si="7"/>
        <v>1392.8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381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347</v>
      </c>
      <c r="D103" s="57" t="s">
        <v>181</v>
      </c>
      <c r="E103" s="46">
        <v>1</v>
      </c>
      <c r="F103" s="43" t="s">
        <v>382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346</v>
      </c>
      <c r="B104" s="55" t="s">
        <v>97</v>
      </c>
      <c r="C104" s="57" t="s">
        <v>348</v>
      </c>
      <c r="D104" s="57" t="s">
        <v>181</v>
      </c>
      <c r="E104" s="46">
        <v>1</v>
      </c>
      <c r="F104" s="43" t="s">
        <v>383</v>
      </c>
      <c r="G104" s="44">
        <v>0</v>
      </c>
      <c r="H104" s="44">
        <v>566.5</v>
      </c>
      <c r="I104" s="45">
        <f t="shared" si="7"/>
        <v>566.5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347</v>
      </c>
      <c r="D105" s="57" t="s">
        <v>181</v>
      </c>
      <c r="E105" s="46">
        <v>1</v>
      </c>
      <c r="F105" s="43" t="s">
        <v>384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349</v>
      </c>
      <c r="D106" s="57" t="s">
        <v>181</v>
      </c>
      <c r="E106" s="46">
        <v>1</v>
      </c>
      <c r="F106" s="43" t="s">
        <v>385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340</v>
      </c>
      <c r="B107" s="55" t="s">
        <v>93</v>
      </c>
      <c r="C107" s="57" t="s">
        <v>231</v>
      </c>
      <c r="D107" s="57" t="s">
        <v>181</v>
      </c>
      <c r="E107" s="46">
        <v>1</v>
      </c>
      <c r="F107" s="43" t="s">
        <v>386</v>
      </c>
      <c r="G107" s="44">
        <v>0</v>
      </c>
      <c r="H107" s="44">
        <v>1392.8</v>
      </c>
      <c r="I107" s="45">
        <f t="shared" si="7"/>
        <v>1392.8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341</v>
      </c>
      <c r="B108" s="55" t="s">
        <v>342</v>
      </c>
      <c r="C108" s="57" t="s">
        <v>350</v>
      </c>
      <c r="D108" s="57" t="s">
        <v>181</v>
      </c>
      <c r="E108" s="46">
        <v>1</v>
      </c>
      <c r="F108" s="43" t="s">
        <v>387</v>
      </c>
      <c r="G108" s="44">
        <v>0</v>
      </c>
      <c r="H108" s="44">
        <v>849.76</v>
      </c>
      <c r="I108" s="45">
        <f t="shared" si="7"/>
        <v>849.76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340</v>
      </c>
      <c r="B109" s="55" t="s">
        <v>93</v>
      </c>
      <c r="C109" s="57" t="s">
        <v>351</v>
      </c>
      <c r="D109" s="57" t="s">
        <v>181</v>
      </c>
      <c r="E109" s="46">
        <v>1</v>
      </c>
      <c r="F109" s="43" t="s">
        <v>388</v>
      </c>
      <c r="G109" s="44">
        <v>0</v>
      </c>
      <c r="H109" s="44">
        <v>1392.8</v>
      </c>
      <c r="I109" s="45">
        <f t="shared" si="7"/>
        <v>1392.8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346</v>
      </c>
      <c r="B110" s="55" t="s">
        <v>97</v>
      </c>
      <c r="C110" s="57" t="s">
        <v>352</v>
      </c>
      <c r="D110" s="57" t="s">
        <v>199</v>
      </c>
      <c r="E110" s="46">
        <v>1</v>
      </c>
      <c r="F110" s="43" t="s">
        <v>389</v>
      </c>
      <c r="G110" s="44">
        <v>852.4</v>
      </c>
      <c r="H110" s="44">
        <v>566.5</v>
      </c>
      <c r="I110" s="45">
        <f t="shared" si="7"/>
        <v>1418.9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340</v>
      </c>
      <c r="B111" s="55" t="s">
        <v>93</v>
      </c>
      <c r="C111" s="57" t="s">
        <v>353</v>
      </c>
      <c r="D111" s="57" t="s">
        <v>199</v>
      </c>
      <c r="E111" s="46">
        <v>1</v>
      </c>
      <c r="F111" s="43" t="s">
        <v>390</v>
      </c>
      <c r="G111" s="44">
        <v>830.46</v>
      </c>
      <c r="H111" s="44">
        <v>1392.8</v>
      </c>
      <c r="I111" s="45">
        <f t="shared" si="7"/>
        <v>2223.2600000000002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391</v>
      </c>
      <c r="G112" s="44">
        <v>844.27</v>
      </c>
      <c r="H112" s="44">
        <v>566.5</v>
      </c>
      <c r="I112" s="45">
        <f t="shared" si="7"/>
        <v>1410.77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353</v>
      </c>
      <c r="D113" s="57" t="s">
        <v>199</v>
      </c>
      <c r="E113" s="46">
        <v>1</v>
      </c>
      <c r="F113" s="43" t="s">
        <v>392</v>
      </c>
      <c r="G113" s="44">
        <v>844.13</v>
      </c>
      <c r="H113" s="44">
        <v>566.5</v>
      </c>
      <c r="I113" s="45">
        <f t="shared" si="7"/>
        <v>1410.63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354</v>
      </c>
      <c r="D114" s="57" t="s">
        <v>181</v>
      </c>
      <c r="E114" s="46">
        <v>1</v>
      </c>
      <c r="F114" s="43" t="s">
        <v>393</v>
      </c>
      <c r="G114" s="44">
        <v>0</v>
      </c>
      <c r="H114" s="44">
        <v>566.5</v>
      </c>
      <c r="I114" s="45">
        <f t="shared" si="7"/>
        <v>566.5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477</v>
      </c>
      <c r="G115" s="44">
        <v>845.01</v>
      </c>
      <c r="H115" s="44">
        <v>566.5</v>
      </c>
      <c r="I115" s="45">
        <f t="shared" si="7"/>
        <v>1411.51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394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346</v>
      </c>
      <c r="B117" s="55" t="s">
        <v>97</v>
      </c>
      <c r="C117" s="57" t="s">
        <v>355</v>
      </c>
      <c r="D117" s="57" t="s">
        <v>199</v>
      </c>
      <c r="E117" s="46">
        <v>1</v>
      </c>
      <c r="F117" s="43" t="s">
        <v>395</v>
      </c>
      <c r="G117" s="44">
        <v>837.96</v>
      </c>
      <c r="H117" s="44">
        <v>566.5</v>
      </c>
      <c r="I117" s="45">
        <f t="shared" si="7"/>
        <v>1404.46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340</v>
      </c>
      <c r="B118" s="55" t="s">
        <v>93</v>
      </c>
      <c r="C118" s="57" t="s">
        <v>356</v>
      </c>
      <c r="D118" s="57" t="s">
        <v>181</v>
      </c>
      <c r="E118" s="46">
        <v>1</v>
      </c>
      <c r="F118" s="43" t="s">
        <v>396</v>
      </c>
      <c r="G118" s="44">
        <v>0</v>
      </c>
      <c r="H118" s="44">
        <v>1392.8</v>
      </c>
      <c r="I118" s="45">
        <f t="shared" si="7"/>
        <v>1392.8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346</v>
      </c>
      <c r="B119" s="55" t="s">
        <v>97</v>
      </c>
      <c r="C119" s="57" t="s">
        <v>356</v>
      </c>
      <c r="D119" s="57" t="s">
        <v>199</v>
      </c>
      <c r="E119" s="46">
        <v>1</v>
      </c>
      <c r="F119" s="43" t="s">
        <v>397</v>
      </c>
      <c r="G119" s="44">
        <v>844.87</v>
      </c>
      <c r="H119" s="44">
        <v>566.5</v>
      </c>
      <c r="I119" s="45">
        <f t="shared" si="7"/>
        <v>1411.37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344</v>
      </c>
      <c r="B120" s="55" t="s">
        <v>345</v>
      </c>
      <c r="C120" s="57" t="s">
        <v>356</v>
      </c>
      <c r="D120" s="57" t="s">
        <v>199</v>
      </c>
      <c r="E120" s="46">
        <v>1</v>
      </c>
      <c r="F120" s="43" t="s">
        <v>398</v>
      </c>
      <c r="G120" s="44">
        <v>852.4</v>
      </c>
      <c r="H120" s="44">
        <v>505.81</v>
      </c>
      <c r="I120" s="45">
        <f t="shared" si="7"/>
        <v>1358.21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340</v>
      </c>
      <c r="B121" s="55" t="s">
        <v>93</v>
      </c>
      <c r="C121" s="57" t="s">
        <v>357</v>
      </c>
      <c r="D121" s="57" t="s">
        <v>181</v>
      </c>
      <c r="E121" s="46">
        <v>1</v>
      </c>
      <c r="F121" s="43" t="s">
        <v>399</v>
      </c>
      <c r="G121" s="44">
        <v>0</v>
      </c>
      <c r="H121" s="44">
        <v>1392.8</v>
      </c>
      <c r="I121" s="45">
        <f t="shared" si="7"/>
        <v>1392.8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400</v>
      </c>
      <c r="G122" s="44">
        <v>16704.73</v>
      </c>
      <c r="H122" s="44">
        <v>566.5</v>
      </c>
      <c r="I122" s="45">
        <f t="shared" si="7"/>
        <v>17271.23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357</v>
      </c>
      <c r="D123" s="57" t="s">
        <v>199</v>
      </c>
      <c r="E123" s="46">
        <v>1</v>
      </c>
      <c r="F123" s="43" t="s">
        <v>401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199</v>
      </c>
      <c r="E124" s="46">
        <v>1</v>
      </c>
      <c r="F124" s="43" t="s">
        <v>402</v>
      </c>
      <c r="G124" s="44">
        <v>837.96</v>
      </c>
      <c r="H124" s="44">
        <v>566.5</v>
      </c>
      <c r="I124" s="45">
        <f t="shared" si="7"/>
        <v>1404.46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346</v>
      </c>
      <c r="B125" s="55" t="s">
        <v>97</v>
      </c>
      <c r="C125" s="57" t="s">
        <v>358</v>
      </c>
      <c r="D125" s="57" t="s">
        <v>181</v>
      </c>
      <c r="E125" s="46">
        <v>1</v>
      </c>
      <c r="F125" s="43" t="s">
        <v>403</v>
      </c>
      <c r="G125" s="44">
        <v>0</v>
      </c>
      <c r="H125" s="44">
        <v>566.5</v>
      </c>
      <c r="I125" s="45">
        <f t="shared" si="7"/>
        <v>566.5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404</v>
      </c>
      <c r="G126" s="44">
        <v>831.26</v>
      </c>
      <c r="H126" s="44">
        <v>1392.8</v>
      </c>
      <c r="I126" s="45">
        <f t="shared" si="7"/>
        <v>2224.06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359</v>
      </c>
      <c r="D127" s="57" t="s">
        <v>199</v>
      </c>
      <c r="E127" s="46">
        <v>1</v>
      </c>
      <c r="F127" s="43" t="s">
        <v>405</v>
      </c>
      <c r="G127" s="44">
        <v>1006.04</v>
      </c>
      <c r="H127" s="44">
        <v>1392.8</v>
      </c>
      <c r="I127" s="45">
        <f t="shared" si="7"/>
        <v>2398.84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340</v>
      </c>
      <c r="B128" s="55" t="s">
        <v>93</v>
      </c>
      <c r="C128" s="57" t="s">
        <v>360</v>
      </c>
      <c r="D128" s="57" t="s">
        <v>199</v>
      </c>
      <c r="E128" s="46">
        <v>1</v>
      </c>
      <c r="F128" s="43" t="s">
        <v>406</v>
      </c>
      <c r="G128" s="44">
        <v>837.96</v>
      </c>
      <c r="H128" s="44">
        <v>1392.8</v>
      </c>
      <c r="I128" s="45">
        <f t="shared" si="7"/>
        <v>2230.7600000000002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407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346</v>
      </c>
      <c r="B130" s="55" t="s">
        <v>97</v>
      </c>
      <c r="C130" s="57" t="s">
        <v>361</v>
      </c>
      <c r="D130" s="57" t="s">
        <v>181</v>
      </c>
      <c r="E130" s="46">
        <v>1</v>
      </c>
      <c r="F130" s="43" t="s">
        <v>408</v>
      </c>
      <c r="G130" s="44">
        <v>0</v>
      </c>
      <c r="H130" s="44">
        <v>566.5</v>
      </c>
      <c r="I130" s="45">
        <f t="shared" si="7"/>
        <v>566.5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362</v>
      </c>
      <c r="D131" s="57" t="s">
        <v>181</v>
      </c>
      <c r="E131" s="46">
        <v>1</v>
      </c>
      <c r="F131" s="43" t="s">
        <v>409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410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340</v>
      </c>
      <c r="B133" s="55" t="s">
        <v>93</v>
      </c>
      <c r="C133" s="57" t="s">
        <v>248</v>
      </c>
      <c r="D133" s="57" t="s">
        <v>181</v>
      </c>
      <c r="E133" s="46">
        <v>1</v>
      </c>
      <c r="F133" s="43" t="s">
        <v>411</v>
      </c>
      <c r="G133" s="44">
        <v>0</v>
      </c>
      <c r="H133" s="44">
        <v>1392.8</v>
      </c>
      <c r="I133" s="45">
        <f t="shared" si="7"/>
        <v>1392.8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346</v>
      </c>
      <c r="B134" s="55" t="s">
        <v>97</v>
      </c>
      <c r="C134" s="57" t="s">
        <v>248</v>
      </c>
      <c r="D134" s="57" t="s">
        <v>199</v>
      </c>
      <c r="E134" s="46">
        <v>1</v>
      </c>
      <c r="F134" s="43" t="s">
        <v>490</v>
      </c>
      <c r="G134" s="44">
        <v>1509.2</v>
      </c>
      <c r="H134" s="44">
        <v>1392.8</v>
      </c>
      <c r="I134" s="45">
        <f t="shared" si="7"/>
        <v>2902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248</v>
      </c>
      <c r="D135" s="57" t="s">
        <v>199</v>
      </c>
      <c r="E135" s="46">
        <v>1</v>
      </c>
      <c r="F135" s="43" t="s">
        <v>413</v>
      </c>
      <c r="G135" s="44">
        <v>837.83</v>
      </c>
      <c r="H135" s="44">
        <v>1392.8</v>
      </c>
      <c r="I135" s="45">
        <f t="shared" si="7"/>
        <v>2230.63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199</v>
      </c>
      <c r="E136" s="46">
        <v>1</v>
      </c>
      <c r="F136" s="43" t="s">
        <v>414</v>
      </c>
      <c r="G136" s="44">
        <v>809.06</v>
      </c>
      <c r="H136" s="44">
        <v>1392.8</v>
      </c>
      <c r="I136" s="45">
        <f t="shared" si="7"/>
        <v>2201.8599999999997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78" t="s">
        <v>505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181</v>
      </c>
      <c r="E138" s="46">
        <v>1</v>
      </c>
      <c r="F138" s="79" t="s">
        <v>495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417</v>
      </c>
      <c r="G139" s="44">
        <v>1509.2</v>
      </c>
      <c r="H139" s="44">
        <v>1392.8</v>
      </c>
      <c r="I139" s="45">
        <f t="shared" si="7"/>
        <v>2902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340</v>
      </c>
      <c r="B140" s="55" t="s">
        <v>93</v>
      </c>
      <c r="C140" s="57" t="s">
        <v>194</v>
      </c>
      <c r="D140" s="57" t="s">
        <v>199</v>
      </c>
      <c r="E140" s="46">
        <v>1</v>
      </c>
      <c r="F140" s="43" t="s">
        <v>418</v>
      </c>
      <c r="G140" s="44">
        <v>809.06</v>
      </c>
      <c r="H140" s="44">
        <v>1392.8</v>
      </c>
      <c r="I140" s="45">
        <f t="shared" si="7"/>
        <v>2201.8599999999997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419</v>
      </c>
      <c r="G141" s="44">
        <v>852.4</v>
      </c>
      <c r="H141" s="44">
        <v>849.76</v>
      </c>
      <c r="I141" s="45">
        <f t="shared" si="7"/>
        <v>1702.1599999999999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478</v>
      </c>
      <c r="G142" s="44">
        <v>1509.2</v>
      </c>
      <c r="H142" s="44">
        <v>849.76</v>
      </c>
      <c r="I142" s="45">
        <f t="shared" si="7"/>
        <v>2358.96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421</v>
      </c>
      <c r="G143" s="44">
        <v>809.06</v>
      </c>
      <c r="H143" s="44">
        <v>849.76</v>
      </c>
      <c r="I143" s="45">
        <f t="shared" si="7"/>
        <v>1658.82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341</v>
      </c>
      <c r="B144" s="55" t="s">
        <v>342</v>
      </c>
      <c r="C144" s="57" t="s">
        <v>194</v>
      </c>
      <c r="D144" s="57" t="s">
        <v>199</v>
      </c>
      <c r="E144" s="46">
        <v>1</v>
      </c>
      <c r="F144" s="43" t="s">
        <v>422</v>
      </c>
      <c r="G144" s="44">
        <v>837.26</v>
      </c>
      <c r="H144" s="44">
        <v>849.76</v>
      </c>
      <c r="I144" s="45">
        <f t="shared" si="7"/>
        <v>1687.02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423</v>
      </c>
      <c r="G145" s="44">
        <v>824.75</v>
      </c>
      <c r="H145" s="44">
        <v>566.5</v>
      </c>
      <c r="I145" s="45">
        <f t="shared" si="7"/>
        <v>1391.25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346</v>
      </c>
      <c r="B146" s="55" t="s">
        <v>97</v>
      </c>
      <c r="C146" s="57" t="s">
        <v>194</v>
      </c>
      <c r="D146" s="57" t="s">
        <v>199</v>
      </c>
      <c r="E146" s="46">
        <v>1</v>
      </c>
      <c r="F146" s="43" t="s">
        <v>424</v>
      </c>
      <c r="G146" s="44">
        <v>831.26</v>
      </c>
      <c r="H146" s="44">
        <v>566.5</v>
      </c>
      <c r="I146" s="45">
        <f t="shared" si="7"/>
        <v>1397.76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363</v>
      </c>
      <c r="B147" s="55" t="s">
        <v>342</v>
      </c>
      <c r="C147" s="57" t="s">
        <v>194</v>
      </c>
      <c r="D147" s="57" t="s">
        <v>199</v>
      </c>
      <c r="E147" s="46">
        <v>1</v>
      </c>
      <c r="F147" s="43" t="s">
        <v>425</v>
      </c>
      <c r="G147" s="44">
        <v>1509.2</v>
      </c>
      <c r="H147" s="44">
        <v>849.76</v>
      </c>
      <c r="I147" s="45">
        <f t="shared" si="7"/>
        <v>2358.96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57" t="s">
        <v>181</v>
      </c>
      <c r="E148" s="46">
        <v>1</v>
      </c>
      <c r="F148" s="43" t="s">
        <v>426</v>
      </c>
      <c r="G148" s="44">
        <v>0</v>
      </c>
      <c r="H148" s="44">
        <v>1392.8</v>
      </c>
      <c r="I148" s="45">
        <f t="shared" si="7"/>
        <v>1392.8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254</v>
      </c>
      <c r="D149" s="57" t="s">
        <v>181</v>
      </c>
      <c r="E149" s="46">
        <v>1</v>
      </c>
      <c r="F149" s="43" t="s">
        <v>427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181</v>
      </c>
      <c r="E150" s="46">
        <v>1</v>
      </c>
      <c r="F150" s="43" t="s">
        <v>428</v>
      </c>
      <c r="G150" s="44">
        <v>0</v>
      </c>
      <c r="H150" s="44">
        <v>1392.8</v>
      </c>
      <c r="I150" s="45">
        <f t="shared" si="7"/>
        <v>1392.8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340</v>
      </c>
      <c r="B151" s="55" t="s">
        <v>93</v>
      </c>
      <c r="C151" s="57" t="s">
        <v>364</v>
      </c>
      <c r="D151" s="57" t="s">
        <v>199</v>
      </c>
      <c r="E151" s="46">
        <v>1</v>
      </c>
      <c r="F151" s="43" t="s">
        <v>429</v>
      </c>
      <c r="G151" s="44">
        <v>809.06</v>
      </c>
      <c r="H151" s="44">
        <v>1392.8</v>
      </c>
      <c r="I151" s="45">
        <f t="shared" si="7"/>
        <v>2201.8599999999997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346</v>
      </c>
      <c r="B152" s="55" t="s">
        <v>97</v>
      </c>
      <c r="C152" s="57" t="s">
        <v>364</v>
      </c>
      <c r="D152" s="57" t="s">
        <v>199</v>
      </c>
      <c r="E152" s="46">
        <v>1</v>
      </c>
      <c r="F152" s="78" t="s">
        <v>506</v>
      </c>
      <c r="G152" s="44">
        <v>809.06</v>
      </c>
      <c r="H152" s="44">
        <v>566.5</v>
      </c>
      <c r="I152" s="45">
        <f t="shared" si="7"/>
        <v>1375.56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341</v>
      </c>
      <c r="B153" s="55" t="s">
        <v>342</v>
      </c>
      <c r="C153" s="57" t="s">
        <v>364</v>
      </c>
      <c r="D153" s="57" t="s">
        <v>199</v>
      </c>
      <c r="E153" s="46">
        <v>1</v>
      </c>
      <c r="F153" s="43" t="s">
        <v>431</v>
      </c>
      <c r="G153" s="44">
        <v>1509.2</v>
      </c>
      <c r="H153" s="44">
        <v>849.76</v>
      </c>
      <c r="I153" s="45">
        <f t="shared" si="7"/>
        <v>2358.96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346</v>
      </c>
      <c r="B154" s="55" t="s">
        <v>97</v>
      </c>
      <c r="C154" s="57" t="s">
        <v>260</v>
      </c>
      <c r="D154" s="57" t="s">
        <v>181</v>
      </c>
      <c r="E154" s="46">
        <v>1</v>
      </c>
      <c r="F154" s="78" t="s">
        <v>432</v>
      </c>
      <c r="G154" s="44">
        <v>0</v>
      </c>
      <c r="H154" s="44">
        <v>566.5</v>
      </c>
      <c r="I154" s="45">
        <f t="shared" si="7"/>
        <v>566.5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340</v>
      </c>
      <c r="B155" s="55" t="s">
        <v>93</v>
      </c>
      <c r="C155" s="57" t="s">
        <v>260</v>
      </c>
      <c r="D155" s="73" t="s">
        <v>183</v>
      </c>
      <c r="E155" s="46">
        <v>1</v>
      </c>
      <c r="F155" s="79" t="s">
        <v>183</v>
      </c>
      <c r="G155" s="44">
        <v>0</v>
      </c>
      <c r="H155" s="44">
        <v>0</v>
      </c>
      <c r="I155" s="45">
        <f t="shared" si="7"/>
        <v>0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434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365</v>
      </c>
      <c r="B157" s="55" t="s">
        <v>93</v>
      </c>
      <c r="C157" s="57" t="s">
        <v>260</v>
      </c>
      <c r="D157" s="57" t="s">
        <v>181</v>
      </c>
      <c r="E157" s="46">
        <v>1</v>
      </c>
      <c r="F157" s="43" t="s">
        <v>435</v>
      </c>
      <c r="G157" s="44">
        <v>0</v>
      </c>
      <c r="H157" s="44">
        <v>1392.8</v>
      </c>
      <c r="I157" s="45">
        <f t="shared" si="7"/>
        <v>1392.8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341</v>
      </c>
      <c r="B158" s="55" t="s">
        <v>342</v>
      </c>
      <c r="C158" s="57" t="s">
        <v>198</v>
      </c>
      <c r="D158" s="57" t="s">
        <v>199</v>
      </c>
      <c r="E158" s="46">
        <v>1</v>
      </c>
      <c r="F158" s="78" t="s">
        <v>507</v>
      </c>
      <c r="G158" s="44">
        <v>809.06</v>
      </c>
      <c r="H158" s="44">
        <v>849.76</v>
      </c>
      <c r="I158" s="45">
        <f t="shared" si="7"/>
        <v>1658.82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343</v>
      </c>
      <c r="B159" s="55" t="s">
        <v>101</v>
      </c>
      <c r="C159" s="57" t="s">
        <v>198</v>
      </c>
      <c r="D159" s="57" t="s">
        <v>199</v>
      </c>
      <c r="E159" s="46">
        <v>1</v>
      </c>
      <c r="F159" s="43" t="s">
        <v>437</v>
      </c>
      <c r="G159" s="44">
        <v>1509.2</v>
      </c>
      <c r="H159" s="44">
        <v>849.76</v>
      </c>
      <c r="I159" s="45">
        <f t="shared" si="7"/>
        <v>2358.96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181</v>
      </c>
      <c r="E160" s="46">
        <v>1</v>
      </c>
      <c r="F160" s="43" t="s">
        <v>438</v>
      </c>
      <c r="G160" s="44">
        <v>0</v>
      </c>
      <c r="H160" s="44">
        <v>1392.8</v>
      </c>
      <c r="I160" s="45">
        <f t="shared" si="7"/>
        <v>1392.8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340</v>
      </c>
      <c r="B161" s="55" t="s">
        <v>93</v>
      </c>
      <c r="C161" s="57" t="s">
        <v>366</v>
      </c>
      <c r="D161" s="57" t="s">
        <v>199</v>
      </c>
      <c r="E161" s="46">
        <v>1</v>
      </c>
      <c r="F161" s="43" t="s">
        <v>439</v>
      </c>
      <c r="G161" s="44">
        <v>852.4</v>
      </c>
      <c r="H161" s="44">
        <v>1392.8</v>
      </c>
      <c r="I161" s="45">
        <f t="shared" si="7"/>
        <v>2245.1999999999998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440</v>
      </c>
      <c r="G162" s="44">
        <v>831.26</v>
      </c>
      <c r="H162" s="44">
        <v>849.76</v>
      </c>
      <c r="I162" s="45">
        <f t="shared" si="7"/>
        <v>1681.02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441</v>
      </c>
      <c r="G163" s="44">
        <v>824.11</v>
      </c>
      <c r="H163" s="44">
        <v>849.76</v>
      </c>
      <c r="I163" s="45">
        <f t="shared" si="7"/>
        <v>1673.87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442</v>
      </c>
      <c r="G164" s="44">
        <v>1109.1600000000001</v>
      </c>
      <c r="H164" s="44">
        <v>849.76</v>
      </c>
      <c r="I164" s="45">
        <f t="shared" si="7"/>
        <v>1958.92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443</v>
      </c>
      <c r="G165" s="44">
        <v>811.5</v>
      </c>
      <c r="H165" s="44">
        <v>849.76</v>
      </c>
      <c r="I165" s="45">
        <f t="shared" si="7"/>
        <v>1661.26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341</v>
      </c>
      <c r="B166" s="55" t="s">
        <v>342</v>
      </c>
      <c r="C166" s="57" t="s">
        <v>366</v>
      </c>
      <c r="D166" s="57" t="s">
        <v>199</v>
      </c>
      <c r="E166" s="46">
        <v>1</v>
      </c>
      <c r="F166" s="43" t="s">
        <v>444</v>
      </c>
      <c r="G166" s="44">
        <v>831.13</v>
      </c>
      <c r="H166" s="44">
        <v>849.76</v>
      </c>
      <c r="I166" s="45">
        <f t="shared" si="7"/>
        <v>1680.8899999999999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366</v>
      </c>
      <c r="D167" s="57" t="s">
        <v>199</v>
      </c>
      <c r="E167" s="46">
        <v>1</v>
      </c>
      <c r="F167" s="43" t="s">
        <v>445</v>
      </c>
      <c r="G167" s="44">
        <v>844.87</v>
      </c>
      <c r="H167" s="44">
        <v>566.5</v>
      </c>
      <c r="I167" s="45">
        <f t="shared" si="7"/>
        <v>1411.37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346</v>
      </c>
      <c r="B168" s="55" t="s">
        <v>97</v>
      </c>
      <c r="C168" s="57" t="s">
        <v>291</v>
      </c>
      <c r="D168" s="57" t="s">
        <v>199</v>
      </c>
      <c r="E168" s="46">
        <v>1</v>
      </c>
      <c r="F168" s="43" t="s">
        <v>446</v>
      </c>
      <c r="G168" s="44">
        <v>852.4</v>
      </c>
      <c r="H168" s="44">
        <v>566.5</v>
      </c>
      <c r="I168" s="45">
        <f t="shared" si="7"/>
        <v>1418.9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94</v>
      </c>
      <c r="B169" s="55" t="s">
        <v>342</v>
      </c>
      <c r="C169" s="57" t="s">
        <v>291</v>
      </c>
      <c r="D169" s="57" t="s">
        <v>199</v>
      </c>
      <c r="E169" s="46">
        <v>1</v>
      </c>
      <c r="F169" s="43" t="s">
        <v>487</v>
      </c>
      <c r="G169" s="44">
        <v>809.06</v>
      </c>
      <c r="H169" s="44">
        <v>849.76</v>
      </c>
      <c r="I169" s="45">
        <f t="shared" si="7"/>
        <v>1658.82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341</v>
      </c>
      <c r="B170" s="55" t="s">
        <v>342</v>
      </c>
      <c r="C170" s="57" t="s">
        <v>291</v>
      </c>
      <c r="D170" s="57" t="s">
        <v>181</v>
      </c>
      <c r="E170" s="46">
        <v>1</v>
      </c>
      <c r="F170" s="43" t="s">
        <v>448</v>
      </c>
      <c r="G170" s="44">
        <v>0</v>
      </c>
      <c r="H170" s="44">
        <v>849.76</v>
      </c>
      <c r="I170" s="45">
        <f t="shared" si="7"/>
        <v>849.76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449</v>
      </c>
      <c r="G171" s="44">
        <v>852.4</v>
      </c>
      <c r="H171" s="44">
        <v>1392.8</v>
      </c>
      <c r="I171" s="45">
        <f t="shared" si="7"/>
        <v>2245.1999999999998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450</v>
      </c>
      <c r="G172" s="44">
        <v>844.87</v>
      </c>
      <c r="H172" s="44">
        <v>1392.8</v>
      </c>
      <c r="I172" s="45">
        <f t="shared" si="7"/>
        <v>2237.67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340</v>
      </c>
      <c r="B173" s="55" t="s">
        <v>93</v>
      </c>
      <c r="C173" s="57" t="s">
        <v>291</v>
      </c>
      <c r="D173" s="57" t="s">
        <v>199</v>
      </c>
      <c r="E173" s="46">
        <v>1</v>
      </c>
      <c r="F173" s="43" t="s">
        <v>451</v>
      </c>
      <c r="G173" s="44">
        <v>852.4</v>
      </c>
      <c r="H173" s="44">
        <v>1392.8</v>
      </c>
      <c r="I173" s="45">
        <f t="shared" si="7"/>
        <v>2245.1999999999998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346</v>
      </c>
      <c r="B174" s="55" t="s">
        <v>97</v>
      </c>
      <c r="C174" s="57" t="s">
        <v>291</v>
      </c>
      <c r="D174" s="57" t="s">
        <v>199</v>
      </c>
      <c r="E174" s="46">
        <v>1</v>
      </c>
      <c r="F174" s="43" t="s">
        <v>452</v>
      </c>
      <c r="G174" s="44">
        <v>852.4</v>
      </c>
      <c r="H174" s="44">
        <v>566.5</v>
      </c>
      <c r="I174" s="45">
        <f t="shared" si="7"/>
        <v>1418.9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344</v>
      </c>
      <c r="B175" s="55" t="s">
        <v>345</v>
      </c>
      <c r="C175" s="57" t="s">
        <v>291</v>
      </c>
      <c r="D175" s="57" t="s">
        <v>199</v>
      </c>
      <c r="E175" s="46">
        <v>1</v>
      </c>
      <c r="F175" s="43" t="s">
        <v>453</v>
      </c>
      <c r="G175" s="44">
        <v>1509.2</v>
      </c>
      <c r="H175" s="44">
        <v>505.81</v>
      </c>
      <c r="I175" s="45">
        <f t="shared" si="7"/>
        <v>2015.01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367</v>
      </c>
      <c r="B176" s="55" t="s">
        <v>103</v>
      </c>
      <c r="C176" s="57" t="s">
        <v>291</v>
      </c>
      <c r="D176" s="57" t="s">
        <v>199</v>
      </c>
      <c r="E176" s="46">
        <v>1</v>
      </c>
      <c r="F176" s="43" t="s">
        <v>454</v>
      </c>
      <c r="G176" s="44">
        <v>1509.2</v>
      </c>
      <c r="H176" s="44">
        <v>364.17</v>
      </c>
      <c r="I176" s="45">
        <f t="shared" si="7"/>
        <v>1873.3700000000001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455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181</v>
      </c>
      <c r="E178" s="46">
        <v>1</v>
      </c>
      <c r="F178" s="43" t="s">
        <v>456</v>
      </c>
      <c r="G178" s="44">
        <v>0</v>
      </c>
      <c r="H178" s="44">
        <v>1392.8</v>
      </c>
      <c r="I178" s="45">
        <f t="shared" si="7"/>
        <v>1392.8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340</v>
      </c>
      <c r="B179" s="55" t="s">
        <v>93</v>
      </c>
      <c r="C179" s="57" t="s">
        <v>203</v>
      </c>
      <c r="D179" s="57" t="s">
        <v>199</v>
      </c>
      <c r="E179" s="46">
        <v>1</v>
      </c>
      <c r="F179" s="43" t="s">
        <v>457</v>
      </c>
      <c r="G179" s="44">
        <v>1509.2</v>
      </c>
      <c r="H179" s="44">
        <v>1392.8</v>
      </c>
      <c r="I179" s="45">
        <f t="shared" si="7"/>
        <v>2902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346</v>
      </c>
      <c r="B180" s="55" t="s">
        <v>97</v>
      </c>
      <c r="C180" s="57" t="s">
        <v>295</v>
      </c>
      <c r="D180" s="57" t="s">
        <v>199</v>
      </c>
      <c r="E180" s="46">
        <v>1</v>
      </c>
      <c r="F180" s="43" t="s">
        <v>458</v>
      </c>
      <c r="G180" s="44">
        <v>844.87</v>
      </c>
      <c r="H180" s="44">
        <v>566.5</v>
      </c>
      <c r="I180" s="45">
        <f t="shared" si="7"/>
        <v>1411.37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295</v>
      </c>
      <c r="D181" s="57" t="s">
        <v>199</v>
      </c>
      <c r="E181" s="46">
        <v>1</v>
      </c>
      <c r="F181" s="43" t="s">
        <v>459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299</v>
      </c>
      <c r="D182" s="57" t="s">
        <v>199</v>
      </c>
      <c r="E182" s="46">
        <v>1</v>
      </c>
      <c r="F182" s="43" t="s">
        <v>460</v>
      </c>
      <c r="G182" s="44">
        <v>1509.2</v>
      </c>
      <c r="H182" s="44">
        <v>849.76</v>
      </c>
      <c r="I182" s="45">
        <f t="shared" si="7"/>
        <v>2358.96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341</v>
      </c>
      <c r="B183" s="55" t="s">
        <v>342</v>
      </c>
      <c r="C183" s="57" t="s">
        <v>368</v>
      </c>
      <c r="D183" s="57" t="s">
        <v>199</v>
      </c>
      <c r="E183" s="46">
        <v>1</v>
      </c>
      <c r="F183" s="43" t="s">
        <v>461</v>
      </c>
      <c r="G183" s="44">
        <v>987.85</v>
      </c>
      <c r="H183" s="44">
        <v>849.76</v>
      </c>
      <c r="I183" s="45">
        <f t="shared" si="7"/>
        <v>1837.6100000000001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462</v>
      </c>
      <c r="G184" s="44">
        <v>990.49</v>
      </c>
      <c r="H184" s="44">
        <v>505.81</v>
      </c>
      <c r="I184" s="45">
        <f t="shared" si="7"/>
        <v>1496.3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344</v>
      </c>
      <c r="B185" s="55" t="s">
        <v>345</v>
      </c>
      <c r="C185" s="57" t="s">
        <v>368</v>
      </c>
      <c r="D185" s="57" t="s">
        <v>199</v>
      </c>
      <c r="E185" s="46">
        <v>1</v>
      </c>
      <c r="F185" s="43" t="s">
        <v>463</v>
      </c>
      <c r="G185" s="44">
        <v>987.85</v>
      </c>
      <c r="H185" s="44">
        <v>505.81</v>
      </c>
      <c r="I185" s="45">
        <f t="shared" si="7"/>
        <v>1493.66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368</v>
      </c>
      <c r="D186" s="57" t="s">
        <v>199</v>
      </c>
      <c r="E186" s="46">
        <v>1</v>
      </c>
      <c r="F186" s="43" t="s">
        <v>464</v>
      </c>
      <c r="G186" s="44">
        <v>974.09</v>
      </c>
      <c r="H186" s="44">
        <v>566.5</v>
      </c>
      <c r="I186" s="45">
        <f t="shared" si="7"/>
        <v>1540.5900000000001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346</v>
      </c>
      <c r="B187" s="55" t="s">
        <v>97</v>
      </c>
      <c r="C187" s="57" t="s">
        <v>369</v>
      </c>
      <c r="D187" s="57" t="s">
        <v>199</v>
      </c>
      <c r="E187" s="46">
        <v>1</v>
      </c>
      <c r="F187" s="43" t="s">
        <v>465</v>
      </c>
      <c r="G187" s="44">
        <v>852.4</v>
      </c>
      <c r="H187" s="44">
        <v>566.5</v>
      </c>
      <c r="I187" s="45">
        <f t="shared" si="7"/>
        <v>1418.9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341</v>
      </c>
      <c r="B188" s="55" t="s">
        <v>342</v>
      </c>
      <c r="C188" s="57" t="s">
        <v>370</v>
      </c>
      <c r="D188" s="73" t="s">
        <v>199</v>
      </c>
      <c r="E188" s="46">
        <v>1</v>
      </c>
      <c r="F188" s="79" t="s">
        <v>496</v>
      </c>
      <c r="G188" s="44">
        <v>24932.44</v>
      </c>
      <c r="H188" s="44">
        <v>849.76</v>
      </c>
      <c r="I188" s="45">
        <f t="shared" si="7"/>
        <v>25782.199999999997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370</v>
      </c>
      <c r="D189" s="57" t="s">
        <v>181</v>
      </c>
      <c r="E189" s="46">
        <v>1</v>
      </c>
      <c r="F189" s="43" t="s">
        <v>467</v>
      </c>
      <c r="G189" s="44">
        <v>0</v>
      </c>
      <c r="H189" s="44">
        <v>566.5</v>
      </c>
      <c r="I189" s="45">
        <f t="shared" si="7"/>
        <v>566.5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371</v>
      </c>
      <c r="D190" s="57" t="s">
        <v>183</v>
      </c>
      <c r="E190" s="46">
        <v>1</v>
      </c>
      <c r="F190" s="79" t="s">
        <v>183</v>
      </c>
      <c r="G190" s="44">
        <v>0</v>
      </c>
      <c r="H190" s="44">
        <v>0</v>
      </c>
      <c r="I190" s="45">
        <f t="shared" si="7"/>
        <v>0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47" t="s">
        <v>346</v>
      </c>
      <c r="B191" s="55" t="s">
        <v>97</v>
      </c>
      <c r="C191" s="57" t="s">
        <v>372</v>
      </c>
      <c r="D191" s="57" t="s">
        <v>199</v>
      </c>
      <c r="E191" s="46">
        <v>1</v>
      </c>
      <c r="F191" s="43" t="s">
        <v>469</v>
      </c>
      <c r="G191" s="44">
        <v>853.96</v>
      </c>
      <c r="H191" s="44">
        <v>566.5</v>
      </c>
      <c r="I191" s="45">
        <f t="shared" si="7"/>
        <v>1420.46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340</v>
      </c>
      <c r="B192" s="55" t="s">
        <v>93</v>
      </c>
      <c r="C192" s="55" t="s">
        <v>373</v>
      </c>
      <c r="D192" s="57" t="s">
        <v>181</v>
      </c>
      <c r="E192" s="46">
        <v>1</v>
      </c>
      <c r="F192" s="47" t="s">
        <v>470</v>
      </c>
      <c r="G192" s="44">
        <v>0</v>
      </c>
      <c r="H192" s="44">
        <v>1392.8</v>
      </c>
      <c r="I192" s="45">
        <f t="shared" si="7"/>
        <v>1392.8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365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471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340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472</v>
      </c>
      <c r="G194" s="44">
        <v>837.26</v>
      </c>
      <c r="H194" s="44">
        <v>1392.8</v>
      </c>
      <c r="I194" s="45">
        <f t="shared" si="7"/>
        <v>2230.06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365</v>
      </c>
      <c r="B195" s="55" t="s">
        <v>93</v>
      </c>
      <c r="C195" s="55" t="s">
        <v>373</v>
      </c>
      <c r="D195" s="57" t="s">
        <v>199</v>
      </c>
      <c r="E195" s="46">
        <v>1</v>
      </c>
      <c r="F195" s="56" t="s">
        <v>473</v>
      </c>
      <c r="G195" s="44">
        <v>844.13</v>
      </c>
      <c r="H195" s="44">
        <v>1392.8</v>
      </c>
      <c r="I195" s="45">
        <f t="shared" si="7"/>
        <v>2236.9299999999998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346</v>
      </c>
      <c r="B196" s="55" t="s">
        <v>97</v>
      </c>
      <c r="C196" s="55" t="s">
        <v>373</v>
      </c>
      <c r="D196" s="57" t="s">
        <v>181</v>
      </c>
      <c r="E196" s="46">
        <v>1</v>
      </c>
      <c r="F196" s="56" t="s">
        <v>474</v>
      </c>
      <c r="G196" s="44">
        <v>0</v>
      </c>
      <c r="H196" s="44">
        <v>566.5</v>
      </c>
      <c r="I196" s="45">
        <f t="shared" si="7"/>
        <v>566.5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475</v>
      </c>
      <c r="G197" s="44">
        <v>830.46</v>
      </c>
      <c r="H197" s="44">
        <v>1392.8</v>
      </c>
      <c r="I197" s="45">
        <f t="shared" si="7"/>
        <v>2223.2600000000002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x14ac:dyDescent="0.2">
      <c r="A198" s="56" t="s">
        <v>365</v>
      </c>
      <c r="B198" s="55" t="s">
        <v>93</v>
      </c>
      <c r="C198" s="55" t="s">
        <v>373</v>
      </c>
      <c r="D198" s="57" t="s">
        <v>199</v>
      </c>
      <c r="E198" s="46">
        <v>1</v>
      </c>
      <c r="F198" s="56" t="s">
        <v>476</v>
      </c>
      <c r="G198" s="44">
        <v>837.13</v>
      </c>
      <c r="H198" s="44">
        <v>1392.8</v>
      </c>
      <c r="I198" s="45">
        <f t="shared" si="7"/>
        <v>2229.9299999999998</v>
      </c>
      <c r="J198" s="21"/>
      <c r="K198" s="21"/>
      <c r="L198" s="21"/>
      <c r="M198" s="21"/>
      <c r="N198" s="21"/>
      <c r="O198" s="21"/>
      <c r="P198" s="21"/>
      <c r="Q198" s="21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45" x14ac:dyDescent="0.2">
      <c r="A199" s="63" t="s">
        <v>84</v>
      </c>
      <c r="B199" s="63" t="s">
        <v>85</v>
      </c>
      <c r="C199" s="35" t="s">
        <v>86</v>
      </c>
      <c r="D199" s="35" t="s">
        <v>87</v>
      </c>
      <c r="E199" s="35" t="s">
        <v>88</v>
      </c>
      <c r="F199" s="48"/>
      <c r="G199" s="35" t="s">
        <v>89</v>
      </c>
      <c r="H199" s="35" t="s">
        <v>90</v>
      </c>
      <c r="I199" s="35" t="s">
        <v>91</v>
      </c>
      <c r="J199" s="21"/>
      <c r="K199" s="21"/>
      <c r="L199" s="21"/>
      <c r="M199" s="21"/>
      <c r="N199" s="21"/>
      <c r="O199" s="21"/>
      <c r="P199" s="21"/>
      <c r="Q199" s="21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spans="1:30" x14ac:dyDescent="0.2">
      <c r="A200" s="58" t="s">
        <v>92</v>
      </c>
      <c r="B200" s="59" t="s">
        <v>93</v>
      </c>
      <c r="C200" s="28">
        <f>SUMIFS($E$95:$E$198,$B$95:$B$198,"FGS-1",$D$95:$D$198,"&lt;&gt;VAGO")</f>
        <v>43</v>
      </c>
      <c r="D200" s="28">
        <f>SUMIFS($E$95:$E$198,$B$95:$B$198,"FGS-1",$D$95:$D$198,"VAGO")</f>
        <v>1</v>
      </c>
      <c r="E200" s="28">
        <f t="shared" ref="E200:E205" si="8">C200+D200</f>
        <v>44</v>
      </c>
      <c r="F200" s="29"/>
      <c r="G200" s="45">
        <f>SUMIF($B$95:$B$198,"FGS-1",$G$95:$G$198)</f>
        <v>19730.91</v>
      </c>
      <c r="H200" s="45">
        <f>SUMIF($B$95:$B$198,"FGS-1",$H$95:$H$198)</f>
        <v>59890.400000000045</v>
      </c>
      <c r="I200" s="71">
        <f>SUMIF($B$95:$B$198,"FGS-1",$I$95:$I$198)</f>
        <v>79621.31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94</v>
      </c>
      <c r="B201" s="59" t="s">
        <v>95</v>
      </c>
      <c r="C201" s="28">
        <f>SUMIFS($E$95:$E$198,$B$95:$B$198,"FGS-2",$D$95:$D$198,"&lt;&gt;VAGO")</f>
        <v>20</v>
      </c>
      <c r="D201" s="28">
        <f>SUMIFS($E$95:$E$198,$B$95:$B$198,"FGS-2",$D$95:$D$198,"VAGO")</f>
        <v>0</v>
      </c>
      <c r="E201" s="28">
        <f t="shared" si="8"/>
        <v>20</v>
      </c>
      <c r="F201" s="32"/>
      <c r="G201" s="45">
        <f>SUMIF($B$95:$B$198,"FGS-2",$G$95:$G$198)</f>
        <v>42821.42</v>
      </c>
      <c r="H201" s="45">
        <f>SUMIF($B$95:$B$198,"FGS-2",$H$95:$H$198)</f>
        <v>16995.2</v>
      </c>
      <c r="I201" s="71">
        <f>SUMIF($B$95:$B$198,"FGS-2",$I$95:$I$198)</f>
        <v>59816.619999999988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58" t="s">
        <v>96</v>
      </c>
      <c r="B202" s="59" t="s">
        <v>97</v>
      </c>
      <c r="C202" s="28">
        <f>SUMIFS($E$95:$E$198,$B$95:$B$198,"FGS-3",$D$95:$D$198,"&lt;&gt;VAGO")</f>
        <v>31</v>
      </c>
      <c r="D202" s="28">
        <f>SUMIFS($E$95:$E$198,$B$95:$B$198,"FGS-3",$D$95:$D$198,"VAGO")</f>
        <v>1</v>
      </c>
      <c r="E202" s="28">
        <f t="shared" si="8"/>
        <v>32</v>
      </c>
      <c r="F202" s="32"/>
      <c r="G202" s="45">
        <f>SUMIF($B$95:$B$198,"FGS-3",$G$95:$G$198)</f>
        <v>34336.51</v>
      </c>
      <c r="H202" s="45">
        <f>SUMIF($B$95:$B$198,"FGS-3",$H$95:$H$198)</f>
        <v>18387.8</v>
      </c>
      <c r="I202" s="71">
        <f>SUMIF($B$95:$B$198,"FGS-3",$I$95:$I$198)</f>
        <v>52724.310000000012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60" t="s">
        <v>98</v>
      </c>
      <c r="B203" s="61" t="s">
        <v>99</v>
      </c>
      <c r="C203" s="28">
        <f>SUMIFS($E$95:$E$198,$B$95:$B$198,"FGA-1",$D$95:$D$198,"&lt;&gt;VAGO")</f>
        <v>5</v>
      </c>
      <c r="D203" s="28">
        <f>SUMIFS($E$95:$E$198,$B$95:$B$198,"FGA-1",$D$95:$D$198,"VAGO")</f>
        <v>0</v>
      </c>
      <c r="E203" s="28">
        <f t="shared" si="8"/>
        <v>5</v>
      </c>
      <c r="F203" s="34"/>
      <c r="G203" s="45">
        <f>SUMIF($B$95:$B$198,"FGA-1",$G$95:$G$198)</f>
        <v>5171.2</v>
      </c>
      <c r="H203" s="45">
        <f>SUMIF($B$95:$B$198,"FGA-1",$H$95:$H$198)</f>
        <v>2529.0500000000002</v>
      </c>
      <c r="I203" s="71">
        <f>SUMIF($B$95:$B$198,"FGA-1",$I$95:$I$198)</f>
        <v>7700.25</v>
      </c>
      <c r="J203" s="21"/>
      <c r="K203" s="21"/>
      <c r="L203" s="21"/>
      <c r="M203" s="21"/>
      <c r="N203" s="21"/>
      <c r="O203" s="21"/>
      <c r="P203" s="21"/>
      <c r="Q203" s="21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100</v>
      </c>
      <c r="B204" s="59" t="s">
        <v>101</v>
      </c>
      <c r="C204" s="28">
        <f>SUMIFS($E$95:$E$198,$B$95:$B$198,"FGA-2",$D$95:$D$198,"&lt;&gt;VAGO")</f>
        <v>2</v>
      </c>
      <c r="D204" s="28">
        <f>SUMIFS($E$95:$E$198,$B$95:$B$198,"FGA-2",$D$95:$D$198,"VAGO")</f>
        <v>0</v>
      </c>
      <c r="E204" s="28">
        <f t="shared" si="8"/>
        <v>2</v>
      </c>
      <c r="F204" s="34"/>
      <c r="G204" s="45">
        <f>SUMIF($B$95:$B$198,"FGA-2",$G$95:$G$198)</f>
        <v>2340.46</v>
      </c>
      <c r="H204" s="45">
        <f>SUMIF($B$95:$B$198,"FGA-2",$H$95:$H$198)</f>
        <v>1315.1100000000001</v>
      </c>
      <c r="I204" s="71">
        <f>SUMIF($B$95:$B$198,"FGA-2",$I$95:$I$198)</f>
        <v>3655.57</v>
      </c>
      <c r="J204" s="21"/>
      <c r="K204" s="21"/>
      <c r="L204" s="21"/>
      <c r="M204" s="21"/>
      <c r="N204" s="21"/>
      <c r="O204" s="21"/>
      <c r="P204" s="21"/>
      <c r="Q204" s="21"/>
      <c r="R204" s="40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1:30" x14ac:dyDescent="0.2">
      <c r="A205" s="58" t="s">
        <v>102</v>
      </c>
      <c r="B205" s="59" t="s">
        <v>103</v>
      </c>
      <c r="C205" s="28">
        <f>SUMIFS($E$95:$E$198,$B$95:$B$198,"FGA-3",$D$95:$D$198,"&lt;&gt;VAGO")</f>
        <v>1</v>
      </c>
      <c r="D205" s="28">
        <f>SUMIFS($E$95:$E$198,$B$95:$B$198,"FGA-3",$D$95:$D$198,"VAGO")</f>
        <v>0</v>
      </c>
      <c r="E205" s="28">
        <f t="shared" si="8"/>
        <v>1</v>
      </c>
      <c r="F205" s="32"/>
      <c r="G205" s="45">
        <f>SUMIF($B$95:$B$198,"FGA-3",$G$95:$G$198)</f>
        <v>1509.2</v>
      </c>
      <c r="H205" s="45">
        <f>SUMIF($B$95:$B$198,"FGA-3",$H$95:$H$198)</f>
        <v>364.17</v>
      </c>
      <c r="I205" s="71">
        <f>SUMIF($B$95:$B$198,"FGA-3",$I$95:$I$198)</f>
        <v>1873.3700000000001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0" x14ac:dyDescent="0.2">
      <c r="A206" s="63" t="s">
        <v>104</v>
      </c>
      <c r="B206" s="48"/>
      <c r="C206" s="35">
        <f t="shared" ref="C206:E206" si="9">SUM(C200:C205)</f>
        <v>102</v>
      </c>
      <c r="D206" s="35">
        <f t="shared" si="9"/>
        <v>2</v>
      </c>
      <c r="E206" s="35">
        <f t="shared" si="9"/>
        <v>104</v>
      </c>
      <c r="F206" s="48"/>
      <c r="G206" s="51">
        <f t="shared" ref="G206:I206" si="10">SUM(G200:G205)</f>
        <v>105909.7</v>
      </c>
      <c r="H206" s="51">
        <f t="shared" si="10"/>
        <v>99481.730000000054</v>
      </c>
      <c r="I206" s="51">
        <f t="shared" si="10"/>
        <v>205391.43</v>
      </c>
      <c r="J206" s="21"/>
      <c r="K206" s="21"/>
      <c r="L206" s="21"/>
      <c r="M206" s="21"/>
      <c r="N206" s="21"/>
      <c r="O206" s="21"/>
      <c r="P206" s="21"/>
      <c r="Q206" s="21"/>
      <c r="R206" s="49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spans="1:30" ht="33" customHeight="1" x14ac:dyDescent="0.2">
      <c r="A207" s="37"/>
      <c r="B207" s="37"/>
      <c r="C207" s="37"/>
      <c r="D207" s="37"/>
      <c r="E207" s="37"/>
      <c r="F207" s="37"/>
      <c r="G207" s="37"/>
      <c r="H207" s="37"/>
      <c r="I207" s="62"/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45" x14ac:dyDescent="0.2">
      <c r="A208" s="63"/>
      <c r="B208" s="63"/>
      <c r="C208" s="35" t="s">
        <v>105</v>
      </c>
      <c r="D208" s="35" t="s">
        <v>106</v>
      </c>
      <c r="E208" s="35" t="s">
        <v>107</v>
      </c>
      <c r="F208" s="25"/>
      <c r="G208" s="35" t="s">
        <v>108</v>
      </c>
      <c r="H208" s="35" t="s">
        <v>109</v>
      </c>
      <c r="I208" s="35" t="s">
        <v>110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x14ac:dyDescent="0.2">
      <c r="A209" s="63" t="s">
        <v>111</v>
      </c>
      <c r="B209" s="25"/>
      <c r="C209" s="35">
        <f>SUM(C39+C91+C206)</f>
        <v>156</v>
      </c>
      <c r="D209" s="35">
        <f>SUM(D39+D91+D206)</f>
        <v>10</v>
      </c>
      <c r="E209" s="35">
        <f>SUM(E39+E91+E206)</f>
        <v>166</v>
      </c>
      <c r="F209" s="25"/>
      <c r="G209" s="51">
        <f>SUM(H39+G91+G206)</f>
        <v>191770.41999999998</v>
      </c>
      <c r="H209" s="51">
        <f>SUM(I39+H91+H206)</f>
        <v>317828.20000000007</v>
      </c>
      <c r="I209" s="51">
        <f>SUM(J39+I91+I206)</f>
        <v>527598.62</v>
      </c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ht="30" customHeight="1" x14ac:dyDescent="0.2">
      <c r="A210" s="37"/>
      <c r="B210" s="37"/>
      <c r="C210" s="37"/>
      <c r="D210" s="37"/>
      <c r="E210" s="37"/>
      <c r="F210" s="37"/>
      <c r="G210" s="37"/>
      <c r="H210" s="37"/>
      <c r="I210" s="62"/>
      <c r="J210" s="62"/>
      <c r="K210" s="7"/>
      <c r="L210" s="62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">
      <c r="A211" s="100" t="s">
        <v>112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21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113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1" t="s">
        <v>482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483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481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ht="15" customHeight="1" x14ac:dyDescent="0.2">
      <c r="A216" s="102" t="s">
        <v>480</v>
      </c>
      <c r="B216" s="93"/>
      <c r="C216" s="93"/>
      <c r="D216" s="93"/>
      <c r="E216" s="93"/>
      <c r="F216" s="94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3"/>
      <c r="B217" s="96"/>
      <c r="C217" s="96"/>
      <c r="D217" s="96"/>
      <c r="E217" s="96"/>
      <c r="F217" s="96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0" t="s">
        <v>114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104" t="s">
        <v>115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116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117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118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119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120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121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122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123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124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125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126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127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128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129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130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131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132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133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134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135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136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137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40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1:30" x14ac:dyDescent="0.2">
      <c r="A242" s="92" t="s">
        <v>138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139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140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141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142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143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144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145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146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147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148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149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150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151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152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153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154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x14ac:dyDescent="0.2">
      <c r="A259" s="92" t="s">
        <v>155</v>
      </c>
      <c r="B259" s="93"/>
      <c r="C259" s="93"/>
      <c r="D259" s="93"/>
      <c r="E259" s="93"/>
      <c r="F259" s="94"/>
      <c r="G259" s="21"/>
      <c r="H259" s="37"/>
      <c r="I259" s="37"/>
      <c r="J259" s="37"/>
      <c r="K259" s="37"/>
      <c r="L259" s="37"/>
      <c r="M259" s="62"/>
      <c r="N259" s="62"/>
      <c r="O259" s="62"/>
      <c r="P259" s="62"/>
      <c r="Q259" s="62"/>
      <c r="R259" s="64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156</v>
      </c>
      <c r="B260" s="93"/>
      <c r="C260" s="93"/>
      <c r="D260" s="93"/>
      <c r="E260" s="93"/>
      <c r="F260" s="94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157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158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159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160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161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162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163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164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165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166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167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168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169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170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171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172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173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174</v>
      </c>
      <c r="B278" s="93"/>
      <c r="C278" s="93"/>
      <c r="D278" s="93"/>
      <c r="E278" s="93"/>
      <c r="F278" s="94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92" t="s">
        <v>175</v>
      </c>
      <c r="B279" s="93"/>
      <c r="C279" s="93"/>
      <c r="D279" s="93"/>
      <c r="E279" s="93"/>
      <c r="F279" s="94"/>
      <c r="G279" s="68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</row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</sheetData>
  <mergeCells count="76">
    <mergeCell ref="A276:F276"/>
    <mergeCell ref="A277:F277"/>
    <mergeCell ref="A278:F278"/>
    <mergeCell ref="A279:F279"/>
    <mergeCell ref="A270:F270"/>
    <mergeCell ref="A271:F271"/>
    <mergeCell ref="A272:F272"/>
    <mergeCell ref="A273:F273"/>
    <mergeCell ref="A274:F274"/>
    <mergeCell ref="A275:F275"/>
    <mergeCell ref="A269:F269"/>
    <mergeCell ref="A258:F258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68:F268"/>
    <mergeCell ref="A257:F257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F255"/>
    <mergeCell ref="A256:F256"/>
    <mergeCell ref="A245:F245"/>
    <mergeCell ref="A234:F234"/>
    <mergeCell ref="A235:F235"/>
    <mergeCell ref="A236:F236"/>
    <mergeCell ref="A237:F237"/>
    <mergeCell ref="A238:F238"/>
    <mergeCell ref="A239:F239"/>
    <mergeCell ref="A240:F240"/>
    <mergeCell ref="A241:F241"/>
    <mergeCell ref="A242:F242"/>
    <mergeCell ref="A243:F243"/>
    <mergeCell ref="A244:F244"/>
    <mergeCell ref="A233:F233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32:F232"/>
    <mergeCell ref="A221:F221"/>
    <mergeCell ref="A93:I93"/>
    <mergeCell ref="A211:F211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20:F220"/>
    <mergeCell ref="A41:I41"/>
    <mergeCell ref="A1:J1"/>
    <mergeCell ref="A2:J2"/>
    <mergeCell ref="A3:J3"/>
    <mergeCell ref="B4:J4"/>
    <mergeCell ref="A5:J5"/>
  </mergeCells>
  <dataValidations count="4">
    <dataValidation type="list" allowBlank="1" sqref="B43:B84">
      <formula1>"FDA,FDA-1,FDA-2,FDA-3,FDA-4"</formula1>
    </dataValidation>
    <dataValidation type="list" allowBlank="1" sqref="D95:D198 D7:D26 D43:D84">
      <formula1>"AGP,CLH,CLT,COM,CTD,CTI,DES,DISP,ELE,ESG,EST,EXM,EXQ,EXR,FRQ,REV,VAGO"</formula1>
    </dataValidation>
    <dataValidation type="list" allowBlank="1" sqref="B95:B198">
      <formula1>"FGS-1,FGS-2,FGS-3,FGA-1,FGA-2,FGA-3"</formula1>
    </dataValidation>
    <dataValidation type="list" allowBlank="1" sqref="B7:B26">
      <formula1>"DAS,DAS-1,DAS-2,DAS-3,DAS-4,DAS-5,CAA-1,CAA-2,CAA-3,CAA-4,CAA-5"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9"/>
  <sheetViews>
    <sheetView zoomScale="70" zoomScaleNormal="70" workbookViewId="0">
      <selection activeCell="C31" sqref="C31"/>
    </sheetView>
  </sheetViews>
  <sheetFormatPr defaultColWidth="12.625" defaultRowHeight="15" customHeight="1" x14ac:dyDescent="0.2"/>
  <cols>
    <col min="1" max="1" width="69.75" style="82" bestFit="1" customWidth="1"/>
    <col min="2" max="2" width="9.75" style="82" bestFit="1" customWidth="1"/>
    <col min="3" max="3" width="24" style="82" bestFit="1" customWidth="1"/>
    <col min="4" max="4" width="12.25" style="82" bestFit="1" customWidth="1"/>
    <col min="5" max="5" width="9.25" style="82" bestFit="1" customWidth="1"/>
    <col min="6" max="6" width="44.125" style="82" bestFit="1" customWidth="1"/>
    <col min="7" max="7" width="17.5" style="82" bestFit="1" customWidth="1"/>
    <col min="8" max="8" width="17.875" style="82" bestFit="1" customWidth="1"/>
    <col min="9" max="9" width="17.875" style="82" customWidth="1"/>
    <col min="10" max="10" width="15" style="82" customWidth="1"/>
    <col min="11" max="16" width="8" style="82" customWidth="1"/>
    <col min="17" max="17" width="43.875" style="82" customWidth="1"/>
    <col min="18" max="30" width="8" style="82" customWidth="1"/>
    <col min="31" max="16384" width="12.625" style="82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508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2" t="s">
        <v>182</v>
      </c>
      <c r="B8" s="57" t="s">
        <v>41</v>
      </c>
      <c r="C8" s="57" t="s">
        <v>178</v>
      </c>
      <c r="D8" s="57" t="s">
        <v>183</v>
      </c>
      <c r="E8" s="46">
        <v>1</v>
      </c>
      <c r="F8" s="47" t="s">
        <v>183</v>
      </c>
      <c r="G8" s="44">
        <v>0</v>
      </c>
      <c r="H8" s="44">
        <v>0</v>
      </c>
      <c r="I8" s="44">
        <v>0</v>
      </c>
      <c r="J8" s="45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7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184</v>
      </c>
      <c r="B11" s="57" t="s">
        <v>43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185</v>
      </c>
      <c r="B12" s="57" t="s">
        <v>33</v>
      </c>
      <c r="C12" s="57" t="s">
        <v>178</v>
      </c>
      <c r="D12" s="73" t="s">
        <v>199</v>
      </c>
      <c r="E12" s="46">
        <v>1</v>
      </c>
      <c r="F12" s="47" t="s">
        <v>436</v>
      </c>
      <c r="G12" s="44">
        <v>0</v>
      </c>
      <c r="H12" s="44">
        <v>809.06</v>
      </c>
      <c r="I12" s="44">
        <v>4316.21</v>
      </c>
      <c r="J12" s="45">
        <f t="shared" si="0"/>
        <v>5125.2700000000004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186</v>
      </c>
      <c r="B13" s="57" t="s">
        <v>39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187</v>
      </c>
      <c r="B14" s="57" t="s">
        <v>37</v>
      </c>
      <c r="C14" s="57" t="s">
        <v>178</v>
      </c>
      <c r="D14" s="57" t="s">
        <v>188</v>
      </c>
      <c r="E14" s="46">
        <v>1</v>
      </c>
      <c r="F14" s="47" t="s">
        <v>213</v>
      </c>
      <c r="G14" s="44">
        <v>0</v>
      </c>
      <c r="H14" s="44">
        <v>0</v>
      </c>
      <c r="I14" s="44">
        <v>3083.01</v>
      </c>
      <c r="J14" s="45">
        <f t="shared" si="0"/>
        <v>3083.01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189</v>
      </c>
      <c r="B15" s="57" t="s">
        <v>39</v>
      </c>
      <c r="C15" s="57" t="s">
        <v>190</v>
      </c>
      <c r="D15" s="57" t="s">
        <v>183</v>
      </c>
      <c r="E15" s="46">
        <v>1</v>
      </c>
      <c r="F15" s="47" t="s">
        <v>183</v>
      </c>
      <c r="G15" s="44">
        <v>0</v>
      </c>
      <c r="H15" s="44">
        <v>0</v>
      </c>
      <c r="I15" s="44">
        <v>0</v>
      </c>
      <c r="J15" s="45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191</v>
      </c>
      <c r="B16" s="57" t="s">
        <v>25</v>
      </c>
      <c r="C16" s="57" t="s">
        <v>192</v>
      </c>
      <c r="D16" s="57" t="s">
        <v>181</v>
      </c>
      <c r="E16" s="46">
        <v>1</v>
      </c>
      <c r="F16" s="47" t="s">
        <v>214</v>
      </c>
      <c r="G16" s="44">
        <v>0</v>
      </c>
      <c r="H16" s="44">
        <v>0</v>
      </c>
      <c r="I16" s="44">
        <v>10400</v>
      </c>
      <c r="J16" s="45">
        <f t="shared" si="0"/>
        <v>10400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72" t="s">
        <v>499</v>
      </c>
      <c r="B17" s="57" t="s">
        <v>25</v>
      </c>
      <c r="C17" s="73" t="s">
        <v>178</v>
      </c>
      <c r="D17" s="73" t="s">
        <v>199</v>
      </c>
      <c r="E17" s="46">
        <v>1</v>
      </c>
      <c r="F17" s="72" t="s">
        <v>500</v>
      </c>
      <c r="G17" s="44">
        <v>0</v>
      </c>
      <c r="H17" s="44">
        <v>15956.74</v>
      </c>
      <c r="I17" s="44">
        <v>10053.33</v>
      </c>
      <c r="J17" s="45">
        <f t="shared" si="0"/>
        <v>26010.07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57" t="s">
        <v>188</v>
      </c>
      <c r="E19" s="46">
        <v>1</v>
      </c>
      <c r="F19" s="47" t="s">
        <v>486</v>
      </c>
      <c r="G19" s="44">
        <v>0</v>
      </c>
      <c r="H19" s="44">
        <v>0</v>
      </c>
      <c r="I19" s="44">
        <v>4316.21</v>
      </c>
      <c r="J19" s="45">
        <f t="shared" si="0"/>
        <v>4316.21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181</v>
      </c>
      <c r="E21" s="46">
        <v>1</v>
      </c>
      <c r="F21" s="72" t="s">
        <v>497</v>
      </c>
      <c r="G21" s="44">
        <v>0</v>
      </c>
      <c r="H21" s="44">
        <v>0</v>
      </c>
      <c r="I21" s="44">
        <v>3083.01</v>
      </c>
      <c r="J21" s="45">
        <f t="shared" si="0"/>
        <v>3083.01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181</v>
      </c>
      <c r="E22" s="46">
        <v>1</v>
      </c>
      <c r="F22" s="47" t="s">
        <v>498</v>
      </c>
      <c r="G22" s="44">
        <v>0</v>
      </c>
      <c r="H22" s="44">
        <v>0</v>
      </c>
      <c r="I22" s="44">
        <v>4316.21</v>
      </c>
      <c r="J22" s="45">
        <f t="shared" si="0"/>
        <v>4316.21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57" t="s">
        <v>199</v>
      </c>
      <c r="E23" s="46">
        <v>1</v>
      </c>
      <c r="F23" s="72" t="s">
        <v>489</v>
      </c>
      <c r="G23" s="44">
        <v>0</v>
      </c>
      <c r="H23" s="44">
        <v>1509.2</v>
      </c>
      <c r="I23" s="44">
        <v>3083.01</v>
      </c>
      <c r="J23" s="45">
        <f t="shared" si="0"/>
        <v>4592.21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188</v>
      </c>
      <c r="E26" s="46">
        <v>1</v>
      </c>
      <c r="F26" s="72" t="s">
        <v>501</v>
      </c>
      <c r="G26" s="44">
        <v>0</v>
      </c>
      <c r="H26" s="44">
        <v>1266.5999999999999</v>
      </c>
      <c r="I26" s="44">
        <v>5066.41</v>
      </c>
      <c r="J26" s="45">
        <f t="shared" si="0"/>
        <v>6333.01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2</v>
      </c>
      <c r="D29" s="28">
        <f>SUMIFS($E$7:$E$26,$B$7:$B$26,"DAS-1",$D$7:$D$26,"VAGO")</f>
        <v>0</v>
      </c>
      <c r="E29" s="28">
        <f t="shared" si="1"/>
        <v>2</v>
      </c>
      <c r="F29" s="32"/>
      <c r="G29" s="30">
        <f>SUMIF($B$7:$B$26,"DAS-1",$G$7:$G$26)</f>
        <v>0</v>
      </c>
      <c r="H29" s="30">
        <f>SUMIF($B$7:$B$26,"DAS-1",$H$7:$H$26)</f>
        <v>15956.74</v>
      </c>
      <c r="I29" s="30">
        <f>SUMIF($B$7:$B$26,"DAS-1",$I$7:$I$26)</f>
        <v>20453.330000000002</v>
      </c>
      <c r="J29" s="30">
        <f>SUMIF($B$7:$B$26,"DAS-1",$J$7:$J$26)</f>
        <v>36410.07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0</v>
      </c>
      <c r="D31" s="28">
        <f>SUMIFS($E$7:$E$26,$B$7:$B$26,"DAS-3",$D$7:$D$26,"VAGO")</f>
        <v>0</v>
      </c>
      <c r="E31" s="28">
        <f t="shared" si="1"/>
        <v>0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0</v>
      </c>
      <c r="J31" s="30">
        <f>SUMIF($B$7:$B$26,"DAS-3",$J$7:$J$26)</f>
        <v>0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1</v>
      </c>
      <c r="D32" s="28">
        <f>SUMIFS($E$7:$E$26,$B$7:$B$26,"DAS-4",$D$7:$D$26,"VAGO")</f>
        <v>0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1266.5999999999999</v>
      </c>
      <c r="I32" s="30">
        <f>SUMIF($B$7:$B$26,"DAS-4",$I$7:$I$26)</f>
        <v>5066.41</v>
      </c>
      <c r="J32" s="30">
        <f>SUMIF($B$7:$B$26,"DAS-4",$J$7:$J$26)</f>
        <v>6333.01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5</v>
      </c>
      <c r="D33" s="28">
        <f>SUMIFS($E$7:$E$26,$B$7:$B$26,"DAS-5",$D$7:$D$26,"VAGO")</f>
        <v>0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1918.22</v>
      </c>
      <c r="I33" s="30">
        <f>SUMIF($B$7:$B$26,"DAS-5",$I$7:$I$26)</f>
        <v>21581.05</v>
      </c>
      <c r="J33" s="30">
        <f>SUMIF($B$7:$B$26,"DAS-5",$J$7:$J$26)</f>
        <v>23499.269999999997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4</v>
      </c>
      <c r="D35" s="28">
        <f>SUMIFS($E$7:$E$26,$B$7:$B$26,"CAA-2",$D$7:$D$26,"VAGO")</f>
        <v>1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26441.64</v>
      </c>
      <c r="I35" s="30">
        <f>SUMIF($B$7:$B$26,"CAA-2",$I$7:$I$26)</f>
        <v>12332.04</v>
      </c>
      <c r="J35" s="30">
        <f>SUMIF($B$7:$B$26,"CAA-2",$J$7:$J$26)</f>
        <v>38773.679999999993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13</v>
      </c>
      <c r="D39" s="35">
        <f>SUM(D28:D38)</f>
        <v>7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45583.199999999997</v>
      </c>
      <c r="I39" s="36">
        <f t="shared" si="2"/>
        <v>59432.83</v>
      </c>
      <c r="J39" s="36">
        <f t="shared" si="2"/>
        <v>123016.03</v>
      </c>
      <c r="K39" s="37"/>
      <c r="L39" s="37"/>
      <c r="M39" s="37"/>
      <c r="N39" s="37"/>
      <c r="O39" s="37"/>
      <c r="P39" s="37"/>
      <c r="Q39" s="37"/>
    </row>
    <row r="40" spans="1:30" ht="45.75" customHeight="1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4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180</v>
      </c>
      <c r="B44" s="42" t="s">
        <v>66</v>
      </c>
      <c r="C44" s="57" t="s">
        <v>178</v>
      </c>
      <c r="D44" s="57" t="s">
        <v>181</v>
      </c>
      <c r="E44" s="46">
        <v>1</v>
      </c>
      <c r="F44" s="72" t="s">
        <v>306</v>
      </c>
      <c r="G44" s="44">
        <v>0</v>
      </c>
      <c r="H44" s="44">
        <v>5688.14</v>
      </c>
      <c r="I44" s="45">
        <f t="shared" si="3"/>
        <v>5688.14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72" t="s">
        <v>222</v>
      </c>
      <c r="B45" s="42" t="s">
        <v>68</v>
      </c>
      <c r="C45" s="57" t="s">
        <v>223</v>
      </c>
      <c r="D45" s="57" t="s">
        <v>199</v>
      </c>
      <c r="E45" s="46">
        <v>1</v>
      </c>
      <c r="F45" s="43" t="s">
        <v>301</v>
      </c>
      <c r="G45" s="44">
        <v>16704.73</v>
      </c>
      <c r="H45" s="44">
        <v>5241.1099999999997</v>
      </c>
      <c r="I45" s="45">
        <f t="shared" si="3"/>
        <v>21945.84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224</v>
      </c>
      <c r="B46" s="42" t="s">
        <v>72</v>
      </c>
      <c r="C46" s="57" t="s">
        <v>225</v>
      </c>
      <c r="D46" s="57" t="s">
        <v>181</v>
      </c>
      <c r="E46" s="46">
        <v>1</v>
      </c>
      <c r="F46" s="47" t="s">
        <v>302</v>
      </c>
      <c r="G46" s="44">
        <v>0</v>
      </c>
      <c r="H46" s="44">
        <v>3083.01</v>
      </c>
      <c r="I46" s="45">
        <f t="shared" si="3"/>
        <v>3083.01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226</v>
      </c>
      <c r="B47" s="42" t="s">
        <v>66</v>
      </c>
      <c r="C47" s="57" t="s">
        <v>227</v>
      </c>
      <c r="D47" s="57" t="s">
        <v>181</v>
      </c>
      <c r="E47" s="46">
        <v>1</v>
      </c>
      <c r="F47" s="47" t="s">
        <v>303</v>
      </c>
      <c r="G47" s="44">
        <v>0</v>
      </c>
      <c r="H47" s="44">
        <v>5703.56</v>
      </c>
      <c r="I47" s="45">
        <f t="shared" si="3"/>
        <v>5703.56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228</v>
      </c>
      <c r="B48" s="42" t="s">
        <v>72</v>
      </c>
      <c r="C48" s="57" t="s">
        <v>229</v>
      </c>
      <c r="D48" s="57" t="s">
        <v>181</v>
      </c>
      <c r="E48" s="46">
        <v>1</v>
      </c>
      <c r="F48" s="47" t="s">
        <v>304</v>
      </c>
      <c r="G48" s="44">
        <v>0</v>
      </c>
      <c r="H48" s="44">
        <v>3083.01</v>
      </c>
      <c r="I48" s="45">
        <f t="shared" si="3"/>
        <v>3083.01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230</v>
      </c>
      <c r="B49" s="42" t="s">
        <v>68</v>
      </c>
      <c r="C49" s="57" t="s">
        <v>231</v>
      </c>
      <c r="D49" s="57" t="s">
        <v>199</v>
      </c>
      <c r="E49" s="46">
        <v>1</v>
      </c>
      <c r="F49" s="47" t="s">
        <v>305</v>
      </c>
      <c r="G49" s="44">
        <v>16704.73</v>
      </c>
      <c r="H49" s="44">
        <v>5241.1099999999997</v>
      </c>
      <c r="I49" s="45">
        <f t="shared" si="3"/>
        <v>21945.84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232</v>
      </c>
      <c r="B50" s="42" t="s">
        <v>68</v>
      </c>
      <c r="C50" s="57" t="s">
        <v>233</v>
      </c>
      <c r="D50" s="57" t="s">
        <v>199</v>
      </c>
      <c r="E50" s="46">
        <v>1</v>
      </c>
      <c r="F50" s="72" t="s">
        <v>494</v>
      </c>
      <c r="G50" s="44">
        <v>1509.2</v>
      </c>
      <c r="H50" s="44">
        <v>5241.1099999999997</v>
      </c>
      <c r="I50" s="45">
        <f t="shared" si="3"/>
        <v>6750.3099999999995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234</v>
      </c>
      <c r="B51" s="42" t="s">
        <v>68</v>
      </c>
      <c r="C51" s="57" t="s">
        <v>223</v>
      </c>
      <c r="D51" s="57" t="s">
        <v>199</v>
      </c>
      <c r="E51" s="46">
        <v>1</v>
      </c>
      <c r="F51" s="47" t="s">
        <v>504</v>
      </c>
      <c r="G51" s="44">
        <v>809.06</v>
      </c>
      <c r="H51" s="44">
        <v>5241.1099999999997</v>
      </c>
      <c r="I51" s="45">
        <f t="shared" si="3"/>
        <v>6050.17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235</v>
      </c>
      <c r="B52" s="42" t="s">
        <v>66</v>
      </c>
      <c r="C52" s="57" t="s">
        <v>236</v>
      </c>
      <c r="D52" s="57" t="s">
        <v>181</v>
      </c>
      <c r="E52" s="46">
        <v>1</v>
      </c>
      <c r="F52" s="47" t="s">
        <v>308</v>
      </c>
      <c r="G52" s="44">
        <v>0</v>
      </c>
      <c r="H52" s="44">
        <v>5703.56</v>
      </c>
      <c r="I52" s="45">
        <f t="shared" si="3"/>
        <v>5703.56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237</v>
      </c>
      <c r="B53" s="42" t="s">
        <v>72</v>
      </c>
      <c r="C53" s="57" t="s">
        <v>238</v>
      </c>
      <c r="D53" s="57" t="s">
        <v>181</v>
      </c>
      <c r="E53" s="46">
        <v>1</v>
      </c>
      <c r="F53" s="47" t="s">
        <v>309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239</v>
      </c>
      <c r="B54" s="42" t="s">
        <v>72</v>
      </c>
      <c r="C54" s="57" t="s">
        <v>240</v>
      </c>
      <c r="D54" s="57" t="s">
        <v>181</v>
      </c>
      <c r="E54" s="46">
        <v>1</v>
      </c>
      <c r="F54" s="47" t="s">
        <v>310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241</v>
      </c>
      <c r="B55" s="42" t="s">
        <v>72</v>
      </c>
      <c r="C55" s="57" t="s">
        <v>242</v>
      </c>
      <c r="D55" s="57" t="s">
        <v>181</v>
      </c>
      <c r="E55" s="46">
        <v>1</v>
      </c>
      <c r="F55" s="47" t="s">
        <v>311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243</v>
      </c>
      <c r="B56" s="42" t="s">
        <v>72</v>
      </c>
      <c r="C56" s="57" t="s">
        <v>244</v>
      </c>
      <c r="D56" s="57" t="s">
        <v>181</v>
      </c>
      <c r="E56" s="46">
        <v>1</v>
      </c>
      <c r="F56" s="47" t="s">
        <v>312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245</v>
      </c>
      <c r="B57" s="42" t="s">
        <v>72</v>
      </c>
      <c r="C57" s="57" t="s">
        <v>246</v>
      </c>
      <c r="D57" s="57" t="s">
        <v>181</v>
      </c>
      <c r="E57" s="46">
        <v>1</v>
      </c>
      <c r="F57" s="47" t="s">
        <v>313</v>
      </c>
      <c r="G57" s="44">
        <v>0</v>
      </c>
      <c r="H57" s="44">
        <v>3083.01</v>
      </c>
      <c r="I57" s="45">
        <f t="shared" si="3"/>
        <v>3083.01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247</v>
      </c>
      <c r="B58" s="42" t="s">
        <v>66</v>
      </c>
      <c r="C58" s="57" t="s">
        <v>248</v>
      </c>
      <c r="D58" s="57" t="s">
        <v>181</v>
      </c>
      <c r="E58" s="46">
        <v>1</v>
      </c>
      <c r="F58" s="76" t="s">
        <v>317</v>
      </c>
      <c r="G58" s="44">
        <v>0</v>
      </c>
      <c r="H58" s="44">
        <v>5703.56</v>
      </c>
      <c r="I58" s="45">
        <f t="shared" si="3"/>
        <v>5703.56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249</v>
      </c>
      <c r="B59" s="42" t="s">
        <v>72</v>
      </c>
      <c r="C59" s="57" t="s">
        <v>250</v>
      </c>
      <c r="D59" s="57" t="s">
        <v>181</v>
      </c>
      <c r="E59" s="46">
        <v>1</v>
      </c>
      <c r="F59" s="47" t="s">
        <v>315</v>
      </c>
      <c r="G59" s="44">
        <v>0</v>
      </c>
      <c r="H59" s="44">
        <v>3083.01</v>
      </c>
      <c r="I59" s="45">
        <f t="shared" si="3"/>
        <v>3083.01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251</v>
      </c>
      <c r="B60" s="42" t="s">
        <v>72</v>
      </c>
      <c r="C60" s="57" t="s">
        <v>252</v>
      </c>
      <c r="D60" s="57" t="s">
        <v>199</v>
      </c>
      <c r="E60" s="46">
        <v>1</v>
      </c>
      <c r="F60" s="47" t="s">
        <v>316</v>
      </c>
      <c r="G60" s="44">
        <v>831.26</v>
      </c>
      <c r="H60" s="44">
        <v>3083.01</v>
      </c>
      <c r="I60" s="45">
        <f t="shared" si="3"/>
        <v>3914.2700000000004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253</v>
      </c>
      <c r="B61" s="42" t="s">
        <v>70</v>
      </c>
      <c r="C61" s="57" t="s">
        <v>254</v>
      </c>
      <c r="D61" s="77" t="s">
        <v>181</v>
      </c>
      <c r="E61" s="46">
        <v>1</v>
      </c>
      <c r="F61" s="76" t="s">
        <v>217</v>
      </c>
      <c r="G61" s="44">
        <v>0</v>
      </c>
      <c r="H61" s="44">
        <v>4316.21</v>
      </c>
      <c r="I61" s="45">
        <f t="shared" si="3"/>
        <v>4316.21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255</v>
      </c>
      <c r="B62" s="42" t="s">
        <v>72</v>
      </c>
      <c r="C62" s="57" t="s">
        <v>256</v>
      </c>
      <c r="D62" s="57" t="s">
        <v>181</v>
      </c>
      <c r="E62" s="46">
        <v>1</v>
      </c>
      <c r="F62" s="47" t="s">
        <v>318</v>
      </c>
      <c r="G62" s="44">
        <v>0</v>
      </c>
      <c r="H62" s="44">
        <v>3083.01</v>
      </c>
      <c r="I62" s="45">
        <f t="shared" si="3"/>
        <v>3083.01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257</v>
      </c>
      <c r="B63" s="42" t="s">
        <v>72</v>
      </c>
      <c r="C63" s="57" t="s">
        <v>258</v>
      </c>
      <c r="D63" s="57" t="s">
        <v>181</v>
      </c>
      <c r="E63" s="46">
        <v>1</v>
      </c>
      <c r="F63" s="47" t="s">
        <v>319</v>
      </c>
      <c r="G63" s="44">
        <v>0</v>
      </c>
      <c r="H63" s="44">
        <v>3083.01</v>
      </c>
      <c r="I63" s="45">
        <f t="shared" si="3"/>
        <v>3083.01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259</v>
      </c>
      <c r="B64" s="42" t="s">
        <v>66</v>
      </c>
      <c r="C64" s="57" t="s">
        <v>260</v>
      </c>
      <c r="D64" s="57" t="s">
        <v>181</v>
      </c>
      <c r="E64" s="46">
        <v>1</v>
      </c>
      <c r="F64" s="47" t="s">
        <v>320</v>
      </c>
      <c r="G64" s="44">
        <v>0</v>
      </c>
      <c r="H64" s="44">
        <v>5703.56</v>
      </c>
      <c r="I64" s="45">
        <f t="shared" si="3"/>
        <v>5703.56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261</v>
      </c>
      <c r="B65" s="42" t="s">
        <v>72</v>
      </c>
      <c r="C65" s="57" t="s">
        <v>262</v>
      </c>
      <c r="D65" s="57" t="s">
        <v>181</v>
      </c>
      <c r="E65" s="46">
        <v>1</v>
      </c>
      <c r="F65" s="47" t="s">
        <v>321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263</v>
      </c>
      <c r="B66" s="42" t="s">
        <v>72</v>
      </c>
      <c r="C66" s="57" t="s">
        <v>264</v>
      </c>
      <c r="D66" s="57" t="s">
        <v>181</v>
      </c>
      <c r="E66" s="46">
        <v>1</v>
      </c>
      <c r="F66" s="47" t="s">
        <v>322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265</v>
      </c>
      <c r="B67" s="42" t="s">
        <v>72</v>
      </c>
      <c r="C67" s="57" t="s">
        <v>266</v>
      </c>
      <c r="D67" s="57" t="s">
        <v>181</v>
      </c>
      <c r="E67" s="46">
        <v>1</v>
      </c>
      <c r="F67" s="47" t="s">
        <v>323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267</v>
      </c>
      <c r="B68" s="42" t="s">
        <v>72</v>
      </c>
      <c r="C68" s="57" t="s">
        <v>268</v>
      </c>
      <c r="D68" s="57" t="s">
        <v>181</v>
      </c>
      <c r="E68" s="46">
        <v>1</v>
      </c>
      <c r="F68" s="47" t="s">
        <v>324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269</v>
      </c>
      <c r="B69" s="42" t="s">
        <v>72</v>
      </c>
      <c r="C69" s="57" t="s">
        <v>270</v>
      </c>
      <c r="D69" s="57" t="s">
        <v>181</v>
      </c>
      <c r="E69" s="46">
        <v>1</v>
      </c>
      <c r="F69" s="47" t="s">
        <v>325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271</v>
      </c>
      <c r="B70" s="42" t="s">
        <v>72</v>
      </c>
      <c r="C70" s="57" t="s">
        <v>272</v>
      </c>
      <c r="D70" s="57" t="s">
        <v>181</v>
      </c>
      <c r="E70" s="46">
        <v>1</v>
      </c>
      <c r="F70" s="47" t="s">
        <v>326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273</v>
      </c>
      <c r="B71" s="42" t="s">
        <v>72</v>
      </c>
      <c r="C71" s="57" t="s">
        <v>274</v>
      </c>
      <c r="D71" s="57" t="s">
        <v>181</v>
      </c>
      <c r="E71" s="46">
        <v>1</v>
      </c>
      <c r="F71" s="47" t="s">
        <v>327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275</v>
      </c>
      <c r="B72" s="42" t="s">
        <v>72</v>
      </c>
      <c r="C72" s="57" t="s">
        <v>260</v>
      </c>
      <c r="D72" s="57" t="s">
        <v>181</v>
      </c>
      <c r="E72" s="46">
        <v>1</v>
      </c>
      <c r="F72" s="47" t="s">
        <v>328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276</v>
      </c>
      <c r="B73" s="42" t="s">
        <v>72</v>
      </c>
      <c r="C73" s="57" t="s">
        <v>277</v>
      </c>
      <c r="D73" s="57" t="s">
        <v>181</v>
      </c>
      <c r="E73" s="46">
        <v>1</v>
      </c>
      <c r="F73" s="47" t="s">
        <v>329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278</v>
      </c>
      <c r="B74" s="42" t="s">
        <v>72</v>
      </c>
      <c r="C74" s="57" t="s">
        <v>279</v>
      </c>
      <c r="D74" s="57" t="s">
        <v>181</v>
      </c>
      <c r="E74" s="46">
        <v>1</v>
      </c>
      <c r="F74" s="47" t="s">
        <v>330</v>
      </c>
      <c r="G74" s="44">
        <v>0</v>
      </c>
      <c r="H74" s="44">
        <v>3083.01</v>
      </c>
      <c r="I74" s="45">
        <f t="shared" si="3"/>
        <v>3083.01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280</v>
      </c>
      <c r="B75" s="42" t="s">
        <v>66</v>
      </c>
      <c r="C75" s="57" t="s">
        <v>281</v>
      </c>
      <c r="D75" s="57" t="s">
        <v>181</v>
      </c>
      <c r="E75" s="46">
        <v>1</v>
      </c>
      <c r="F75" s="47" t="s">
        <v>331</v>
      </c>
      <c r="G75" s="44">
        <v>0</v>
      </c>
      <c r="H75" s="44">
        <v>5703.56</v>
      </c>
      <c r="I75" s="45">
        <f t="shared" si="3"/>
        <v>5703.56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282</v>
      </c>
      <c r="B76" s="42" t="s">
        <v>72</v>
      </c>
      <c r="C76" s="57" t="s">
        <v>283</v>
      </c>
      <c r="D76" s="57" t="s">
        <v>181</v>
      </c>
      <c r="E76" s="46">
        <v>1</v>
      </c>
      <c r="F76" s="47" t="s">
        <v>332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284</v>
      </c>
      <c r="B77" s="42" t="s">
        <v>72</v>
      </c>
      <c r="C77" s="57" t="s">
        <v>285</v>
      </c>
      <c r="D77" s="57" t="s">
        <v>181</v>
      </c>
      <c r="E77" s="46">
        <v>1</v>
      </c>
      <c r="F77" s="47" t="s">
        <v>333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286</v>
      </c>
      <c r="B78" s="42" t="s">
        <v>72</v>
      </c>
      <c r="C78" s="57" t="s">
        <v>287</v>
      </c>
      <c r="D78" s="57" t="s">
        <v>181</v>
      </c>
      <c r="E78" s="46">
        <v>1</v>
      </c>
      <c r="F78" s="47" t="s">
        <v>334</v>
      </c>
      <c r="G78" s="44">
        <v>0</v>
      </c>
      <c r="H78" s="44">
        <v>3083.01</v>
      </c>
      <c r="I78" s="45">
        <f t="shared" si="3"/>
        <v>3083.01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288</v>
      </c>
      <c r="B79" s="42" t="s">
        <v>70</v>
      </c>
      <c r="C79" s="57" t="s">
        <v>289</v>
      </c>
      <c r="D79" s="57" t="s">
        <v>181</v>
      </c>
      <c r="E79" s="46">
        <v>1</v>
      </c>
      <c r="F79" s="47" t="s">
        <v>335</v>
      </c>
      <c r="G79" s="44">
        <v>0</v>
      </c>
      <c r="H79" s="44">
        <v>4316.21</v>
      </c>
      <c r="I79" s="45">
        <f t="shared" si="3"/>
        <v>4316.21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290</v>
      </c>
      <c r="B80" s="42" t="s">
        <v>66</v>
      </c>
      <c r="C80" s="57" t="s">
        <v>291</v>
      </c>
      <c r="D80" s="57" t="s">
        <v>181</v>
      </c>
      <c r="E80" s="46">
        <v>1</v>
      </c>
      <c r="F80" s="47" t="s">
        <v>336</v>
      </c>
      <c r="G80" s="44">
        <v>0</v>
      </c>
      <c r="H80" s="44">
        <v>5703.56</v>
      </c>
      <c r="I80" s="45">
        <f t="shared" si="3"/>
        <v>5703.56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292</v>
      </c>
      <c r="B81" s="42" t="s">
        <v>72</v>
      </c>
      <c r="C81" s="57" t="s">
        <v>293</v>
      </c>
      <c r="D81" s="57" t="s">
        <v>199</v>
      </c>
      <c r="E81" s="46">
        <v>1</v>
      </c>
      <c r="F81" s="47" t="s">
        <v>337</v>
      </c>
      <c r="G81" s="44">
        <v>1509.2</v>
      </c>
      <c r="H81" s="44">
        <v>3083.01</v>
      </c>
      <c r="I81" s="45">
        <f t="shared" si="3"/>
        <v>4592.21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294</v>
      </c>
      <c r="B82" s="42" t="s">
        <v>72</v>
      </c>
      <c r="C82" s="57" t="s">
        <v>295</v>
      </c>
      <c r="D82" s="73" t="s">
        <v>199</v>
      </c>
      <c r="E82" s="46">
        <v>1</v>
      </c>
      <c r="F82" s="47" t="s">
        <v>412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296</v>
      </c>
      <c r="B83" s="42" t="s">
        <v>72</v>
      </c>
      <c r="C83" s="57" t="s">
        <v>297</v>
      </c>
      <c r="D83" s="57" t="s">
        <v>199</v>
      </c>
      <c r="E83" s="46">
        <v>1</v>
      </c>
      <c r="F83" s="47" t="s">
        <v>338</v>
      </c>
      <c r="G83" s="44">
        <v>1509.2</v>
      </c>
      <c r="H83" s="44">
        <v>3083.01</v>
      </c>
      <c r="I83" s="45">
        <f t="shared" si="3"/>
        <v>4592.21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x14ac:dyDescent="0.2">
      <c r="A84" s="47" t="s">
        <v>298</v>
      </c>
      <c r="B84" s="42" t="s">
        <v>68</v>
      </c>
      <c r="C84" s="57" t="s">
        <v>299</v>
      </c>
      <c r="D84" s="57" t="s">
        <v>181</v>
      </c>
      <c r="E84" s="46">
        <v>1</v>
      </c>
      <c r="F84" s="47" t="s">
        <v>339</v>
      </c>
      <c r="G84" s="44">
        <v>0</v>
      </c>
      <c r="H84" s="44">
        <v>5241.1099999999997</v>
      </c>
      <c r="I84" s="45">
        <f t="shared" si="3"/>
        <v>5241.1099999999997</v>
      </c>
      <c r="J84" s="37"/>
      <c r="K84" s="21"/>
      <c r="L84" s="21"/>
      <c r="M84" s="21"/>
      <c r="N84" s="21"/>
      <c r="O84" s="21"/>
      <c r="P84" s="21"/>
      <c r="Q84" s="21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45" x14ac:dyDescent="0.2">
      <c r="A85" s="63" t="s">
        <v>55</v>
      </c>
      <c r="B85" s="63" t="s">
        <v>56</v>
      </c>
      <c r="C85" s="35" t="s">
        <v>57</v>
      </c>
      <c r="D85" s="35" t="s">
        <v>58</v>
      </c>
      <c r="E85" s="35" t="s">
        <v>59</v>
      </c>
      <c r="F85" s="48"/>
      <c r="G85" s="35" t="s">
        <v>60</v>
      </c>
      <c r="H85" s="35" t="s">
        <v>61</v>
      </c>
      <c r="I85" s="35" t="s">
        <v>62</v>
      </c>
      <c r="J85" s="37"/>
      <c r="K85" s="7"/>
      <c r="L85" s="7"/>
      <c r="M85" s="7"/>
      <c r="N85" s="7"/>
      <c r="O85" s="7"/>
      <c r="P85" s="7"/>
      <c r="Q85" s="7"/>
      <c r="R85" s="4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x14ac:dyDescent="0.2">
      <c r="A86" s="58" t="s">
        <v>63</v>
      </c>
      <c r="B86" s="59" t="s">
        <v>64</v>
      </c>
      <c r="C86" s="28">
        <f>SUMIFS($E$43:$E$84,$B$43:$B$84,"FDA",$D$43:$D$84,"&lt;&gt;VAGO")</f>
        <v>0</v>
      </c>
      <c r="D86" s="28">
        <f>SUMIFS($E$43:$E$84,$B$43:$B$84,"FDA",$D$43:$D$84,"VAGO")</f>
        <v>0</v>
      </c>
      <c r="E86" s="28">
        <f t="shared" ref="E86:E90" si="4">C86+D86</f>
        <v>0</v>
      </c>
      <c r="F86" s="29"/>
      <c r="G86" s="45">
        <f>SUMIF($B$43:$B$84,"FDA",$G$43:$G$84)</f>
        <v>0</v>
      </c>
      <c r="H86" s="45">
        <f>SUMIF($B$43:$B$84,"FDA",$H$43:$H$84)</f>
        <v>0</v>
      </c>
      <c r="I86" s="45">
        <f>SUMIF($B$43:$B$84,"FDA",$I$43:$I$84)</f>
        <v>0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65</v>
      </c>
      <c r="B87" s="59" t="s">
        <v>66</v>
      </c>
      <c r="C87" s="28">
        <f>SUMIFS($E$43:$E$84,$B$43:$B$84,"FDA-1",$D$43:$D$84,"&lt;&gt;VAGO")</f>
        <v>7</v>
      </c>
      <c r="D87" s="28">
        <f>SUMIFS($E$43:$E$84,$B$43:$B$84,"FDA-1",$D$43:$D$84,"VAGO")</f>
        <v>0</v>
      </c>
      <c r="E87" s="28">
        <f t="shared" si="4"/>
        <v>7</v>
      </c>
      <c r="F87" s="29"/>
      <c r="G87" s="45">
        <f>SUMIF($B$43:$B$84,"FDA-1",$G$43:$G$84)</f>
        <v>0</v>
      </c>
      <c r="H87" s="45">
        <f>SUMIF($B$43:$B$84,"FDA-1",$H$43:$H$84)</f>
        <v>39909.5</v>
      </c>
      <c r="I87" s="45">
        <f>SUMIF($B$43:$B$84,"FDA-1",$I$43:$I$84)</f>
        <v>39909.5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67</v>
      </c>
      <c r="B88" s="59" t="s">
        <v>68</v>
      </c>
      <c r="C88" s="28">
        <f>SUMIFS($E$43:$E$84,$B$43:$B$84,"FDA-2",$D$43:$D$84,"&lt;&gt;VAGO")</f>
        <v>6</v>
      </c>
      <c r="D88" s="28">
        <f>SUMIFS($E$43:$E$84,$B$43:$B$84,"FDA-2",$D$43:$D$84,"VAGO")</f>
        <v>0</v>
      </c>
      <c r="E88" s="28">
        <f t="shared" si="4"/>
        <v>6</v>
      </c>
      <c r="F88" s="32"/>
      <c r="G88" s="45">
        <f>SUMIF($B$43:$B$84,"FDA-2",$G$43:$G$84)</f>
        <v>35727.719999999994</v>
      </c>
      <c r="H88" s="45">
        <f>SUMIF($B$43:$B$84,"FDA-2",$H$43:$H$84)</f>
        <v>31446.66</v>
      </c>
      <c r="I88" s="45">
        <f>SUMIF($B$43:$B$84,"FDA-2",$I$43:$I$84)</f>
        <v>67174.37999999999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69</v>
      </c>
      <c r="B89" s="59" t="s">
        <v>70</v>
      </c>
      <c r="C89" s="28">
        <f>SUMIFS($E$43:$E$84,$B$43:$B$84,"FDA-3",$D$43:$D$84,"&lt;&gt;VAGO")</f>
        <v>2</v>
      </c>
      <c r="D89" s="28">
        <f>SUMIFS($E$43:$E$84,$B$43:$B$84,"FDA-3",$D$43:$D$84,"VAGO")</f>
        <v>0</v>
      </c>
      <c r="E89" s="28">
        <f t="shared" si="4"/>
        <v>2</v>
      </c>
      <c r="F89" s="34"/>
      <c r="G89" s="45">
        <f>SUMIF($B$43:$B$84,"FDA-3",$G$43:$G$84)</f>
        <v>0</v>
      </c>
      <c r="H89" s="45">
        <f>SUMIF($B$43:$B$84,"FDA-3",$H$43:$H$84)</f>
        <v>8632.42</v>
      </c>
      <c r="I89" s="45">
        <f>SUMIF($B$43:$B$84,"FDA-3",$I$43:$I$84)</f>
        <v>8632.42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x14ac:dyDescent="0.2">
      <c r="A90" s="58" t="s">
        <v>71</v>
      </c>
      <c r="B90" s="59" t="s">
        <v>72</v>
      </c>
      <c r="C90" s="28">
        <f>SUMIFS($E$43:$E$84,$B$43:$B$84,"FDA-4",$D$43:$D$84,"&lt;&gt;VAGO")</f>
        <v>27</v>
      </c>
      <c r="D90" s="28">
        <f>SUMIFS($E$43:$E$84,$B$43:$B$84,"FDA-4",$D$43:$D$84,"VAGO")</f>
        <v>0</v>
      </c>
      <c r="E90" s="28">
        <f t="shared" si="4"/>
        <v>27</v>
      </c>
      <c r="F90" s="32"/>
      <c r="G90" s="45">
        <f>SUMIF($B$43:$B$84,"FDA-4",$G$43:$G$84)</f>
        <v>5358.86</v>
      </c>
      <c r="H90" s="45">
        <f>SUMIF($B$43:$B$84,"FDA-4",$H$43:$H$84)</f>
        <v>83241.27</v>
      </c>
      <c r="I90" s="45">
        <f>SUMIF($B$43:$B$84,"FDA-4",$I$43:$I$84)</f>
        <v>88600.130000000019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30" x14ac:dyDescent="0.2">
      <c r="A91" s="63" t="s">
        <v>73</v>
      </c>
      <c r="B91" s="48"/>
      <c r="C91" s="35">
        <f t="shared" ref="C91:E91" si="5">SUM(C87:C90)</f>
        <v>42</v>
      </c>
      <c r="D91" s="35">
        <f t="shared" si="5"/>
        <v>0</v>
      </c>
      <c r="E91" s="35">
        <f t="shared" si="5"/>
        <v>42</v>
      </c>
      <c r="F91" s="48"/>
      <c r="G91" s="51">
        <f t="shared" ref="G91:I91" si="6">SUM(G86:G90)</f>
        <v>41086.579999999994</v>
      </c>
      <c r="H91" s="51">
        <f t="shared" si="6"/>
        <v>163229.85</v>
      </c>
      <c r="I91" s="51">
        <f t="shared" si="6"/>
        <v>204316.43</v>
      </c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45" customHeight="1" x14ac:dyDescent="0.2">
      <c r="A92" s="38"/>
      <c r="B92" s="38"/>
      <c r="C92" s="38"/>
      <c r="D92" s="38"/>
      <c r="E92" s="38"/>
      <c r="F92" s="38"/>
      <c r="G92" s="38"/>
      <c r="H92" s="38"/>
      <c r="I92" s="7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x14ac:dyDescent="0.2">
      <c r="A93" s="99" t="s">
        <v>74</v>
      </c>
      <c r="B93" s="93"/>
      <c r="C93" s="93"/>
      <c r="D93" s="93"/>
      <c r="E93" s="93"/>
      <c r="F93" s="93"/>
      <c r="G93" s="93"/>
      <c r="H93" s="93"/>
      <c r="I93" s="94"/>
      <c r="J93" s="21"/>
      <c r="K93" s="7"/>
      <c r="L93" s="21"/>
      <c r="M93" s="21"/>
      <c r="N93" s="21"/>
      <c r="O93" s="21"/>
      <c r="P93" s="21"/>
      <c r="Q93" s="2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30" x14ac:dyDescent="0.2">
      <c r="A94" s="52" t="s">
        <v>75</v>
      </c>
      <c r="B94" s="10" t="s">
        <v>76</v>
      </c>
      <c r="C94" s="10" t="s">
        <v>77</v>
      </c>
      <c r="D94" s="10" t="s">
        <v>78</v>
      </c>
      <c r="E94" s="10" t="s">
        <v>79</v>
      </c>
      <c r="F94" s="10" t="s">
        <v>80</v>
      </c>
      <c r="G94" s="10" t="s">
        <v>81</v>
      </c>
      <c r="H94" s="10" t="s">
        <v>82</v>
      </c>
      <c r="I94" s="10" t="s">
        <v>83</v>
      </c>
      <c r="J94" s="7"/>
      <c r="K94" s="7"/>
      <c r="L94" s="7"/>
      <c r="M94" s="7"/>
      <c r="N94" s="7"/>
      <c r="O94" s="7"/>
      <c r="P94" s="7"/>
      <c r="Q94" s="7"/>
      <c r="R94" s="40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">
      <c r="A95" s="56" t="s">
        <v>340</v>
      </c>
      <c r="B95" s="55" t="s">
        <v>93</v>
      </c>
      <c r="C95" s="55" t="s">
        <v>178</v>
      </c>
      <c r="D95" s="57" t="s">
        <v>181</v>
      </c>
      <c r="E95" s="46">
        <v>1</v>
      </c>
      <c r="F95" s="56" t="s">
        <v>374</v>
      </c>
      <c r="G95" s="44">
        <v>0</v>
      </c>
      <c r="H95" s="44">
        <v>1392.8</v>
      </c>
      <c r="I95" s="45">
        <f t="shared" ref="I95:I198" si="7">SUM(G95:H95)</f>
        <v>1392.8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341</v>
      </c>
      <c r="B96" s="55" t="s">
        <v>342</v>
      </c>
      <c r="C96" s="57" t="s">
        <v>178</v>
      </c>
      <c r="D96" s="57" t="s">
        <v>199</v>
      </c>
      <c r="E96" s="46">
        <v>1</v>
      </c>
      <c r="F96" s="47" t="s">
        <v>375</v>
      </c>
      <c r="G96" s="44">
        <v>831.13</v>
      </c>
      <c r="H96" s="44">
        <v>849.76</v>
      </c>
      <c r="I96" s="45">
        <f t="shared" si="7"/>
        <v>1680.8899999999999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343</v>
      </c>
      <c r="B97" s="55" t="s">
        <v>101</v>
      </c>
      <c r="C97" s="57" t="s">
        <v>178</v>
      </c>
      <c r="D97" s="57" t="s">
        <v>199</v>
      </c>
      <c r="E97" s="46">
        <v>1</v>
      </c>
      <c r="F97" s="43" t="s">
        <v>376</v>
      </c>
      <c r="G97" s="44">
        <v>831.26</v>
      </c>
      <c r="H97" s="44">
        <v>465.35</v>
      </c>
      <c r="I97" s="45">
        <f t="shared" si="7"/>
        <v>1296.6100000000001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340</v>
      </c>
      <c r="B98" s="55" t="s">
        <v>93</v>
      </c>
      <c r="C98" s="57" t="s">
        <v>223</v>
      </c>
      <c r="D98" s="57" t="s">
        <v>199</v>
      </c>
      <c r="E98" s="46">
        <v>1</v>
      </c>
      <c r="F98" s="43" t="s">
        <v>377</v>
      </c>
      <c r="G98" s="44">
        <v>844.27</v>
      </c>
      <c r="H98" s="44">
        <v>1392.8</v>
      </c>
      <c r="I98" s="45">
        <f t="shared" si="7"/>
        <v>2237.0699999999997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344</v>
      </c>
      <c r="B99" s="55" t="s">
        <v>345</v>
      </c>
      <c r="C99" s="57" t="s">
        <v>223</v>
      </c>
      <c r="D99" s="57" t="s">
        <v>199</v>
      </c>
      <c r="E99" s="46">
        <v>1</v>
      </c>
      <c r="F99" s="43" t="s">
        <v>378</v>
      </c>
      <c r="G99" s="44">
        <v>831.26</v>
      </c>
      <c r="H99" s="44">
        <v>505.81</v>
      </c>
      <c r="I99" s="45">
        <f t="shared" si="7"/>
        <v>1337.07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379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340</v>
      </c>
      <c r="B101" s="55" t="s">
        <v>93</v>
      </c>
      <c r="C101" s="57" t="s">
        <v>223</v>
      </c>
      <c r="D101" s="57" t="s">
        <v>181</v>
      </c>
      <c r="E101" s="46">
        <v>1</v>
      </c>
      <c r="F101" s="43" t="s">
        <v>380</v>
      </c>
      <c r="G101" s="44">
        <v>0</v>
      </c>
      <c r="H101" s="44">
        <v>1392.8</v>
      </c>
      <c r="I101" s="45">
        <f t="shared" si="7"/>
        <v>1392.8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381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347</v>
      </c>
      <c r="D103" s="57" t="s">
        <v>181</v>
      </c>
      <c r="E103" s="46">
        <v>1</v>
      </c>
      <c r="F103" s="43" t="s">
        <v>382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346</v>
      </c>
      <c r="B104" s="55" t="s">
        <v>97</v>
      </c>
      <c r="C104" s="57" t="s">
        <v>348</v>
      </c>
      <c r="D104" s="57" t="s">
        <v>181</v>
      </c>
      <c r="E104" s="46">
        <v>1</v>
      </c>
      <c r="F104" s="43" t="s">
        <v>383</v>
      </c>
      <c r="G104" s="44">
        <v>0</v>
      </c>
      <c r="H104" s="44">
        <v>566.5</v>
      </c>
      <c r="I104" s="45">
        <f t="shared" si="7"/>
        <v>566.5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347</v>
      </c>
      <c r="D105" s="57" t="s">
        <v>181</v>
      </c>
      <c r="E105" s="46">
        <v>1</v>
      </c>
      <c r="F105" s="43" t="s">
        <v>384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349</v>
      </c>
      <c r="D106" s="57" t="s">
        <v>181</v>
      </c>
      <c r="E106" s="46">
        <v>1</v>
      </c>
      <c r="F106" s="43" t="s">
        <v>385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340</v>
      </c>
      <c r="B107" s="55" t="s">
        <v>93</v>
      </c>
      <c r="C107" s="57" t="s">
        <v>231</v>
      </c>
      <c r="D107" s="57" t="s">
        <v>181</v>
      </c>
      <c r="E107" s="46">
        <v>1</v>
      </c>
      <c r="F107" s="43" t="s">
        <v>386</v>
      </c>
      <c r="G107" s="44">
        <v>0</v>
      </c>
      <c r="H107" s="44">
        <v>1392.8</v>
      </c>
      <c r="I107" s="45">
        <f t="shared" si="7"/>
        <v>1392.8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341</v>
      </c>
      <c r="B108" s="55" t="s">
        <v>342</v>
      </c>
      <c r="C108" s="57" t="s">
        <v>350</v>
      </c>
      <c r="D108" s="57" t="s">
        <v>181</v>
      </c>
      <c r="E108" s="46">
        <v>1</v>
      </c>
      <c r="F108" s="43" t="s">
        <v>387</v>
      </c>
      <c r="G108" s="44">
        <v>0</v>
      </c>
      <c r="H108" s="44">
        <v>849.76</v>
      </c>
      <c r="I108" s="45">
        <f t="shared" si="7"/>
        <v>849.76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340</v>
      </c>
      <c r="B109" s="55" t="s">
        <v>93</v>
      </c>
      <c r="C109" s="57" t="s">
        <v>351</v>
      </c>
      <c r="D109" s="57" t="s">
        <v>181</v>
      </c>
      <c r="E109" s="46">
        <v>1</v>
      </c>
      <c r="F109" s="43" t="s">
        <v>388</v>
      </c>
      <c r="G109" s="44">
        <v>0</v>
      </c>
      <c r="H109" s="44">
        <v>1392.8</v>
      </c>
      <c r="I109" s="45">
        <f t="shared" si="7"/>
        <v>1392.8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346</v>
      </c>
      <c r="B110" s="55" t="s">
        <v>97</v>
      </c>
      <c r="C110" s="57" t="s">
        <v>352</v>
      </c>
      <c r="D110" s="57" t="s">
        <v>199</v>
      </c>
      <c r="E110" s="46">
        <v>1</v>
      </c>
      <c r="F110" s="43" t="s">
        <v>389</v>
      </c>
      <c r="G110" s="44">
        <v>852.4</v>
      </c>
      <c r="H110" s="44">
        <v>566.5</v>
      </c>
      <c r="I110" s="45">
        <f t="shared" si="7"/>
        <v>1418.9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340</v>
      </c>
      <c r="B111" s="55" t="s">
        <v>93</v>
      </c>
      <c r="C111" s="57" t="s">
        <v>353</v>
      </c>
      <c r="D111" s="57" t="s">
        <v>199</v>
      </c>
      <c r="E111" s="46">
        <v>1</v>
      </c>
      <c r="F111" s="43" t="s">
        <v>390</v>
      </c>
      <c r="G111" s="44">
        <v>830.46</v>
      </c>
      <c r="H111" s="44">
        <v>1392.8</v>
      </c>
      <c r="I111" s="45">
        <f t="shared" si="7"/>
        <v>2223.2600000000002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391</v>
      </c>
      <c r="G112" s="44">
        <v>844.27</v>
      </c>
      <c r="H112" s="44">
        <v>566.5</v>
      </c>
      <c r="I112" s="45">
        <f t="shared" si="7"/>
        <v>1410.77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353</v>
      </c>
      <c r="D113" s="57" t="s">
        <v>199</v>
      </c>
      <c r="E113" s="46">
        <v>1</v>
      </c>
      <c r="F113" s="43" t="s">
        <v>392</v>
      </c>
      <c r="G113" s="44">
        <v>844.13</v>
      </c>
      <c r="H113" s="44">
        <v>566.5</v>
      </c>
      <c r="I113" s="45">
        <f t="shared" si="7"/>
        <v>1410.63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354</v>
      </c>
      <c r="D114" s="57" t="s">
        <v>181</v>
      </c>
      <c r="E114" s="46">
        <v>1</v>
      </c>
      <c r="F114" s="43" t="s">
        <v>393</v>
      </c>
      <c r="G114" s="44">
        <v>0</v>
      </c>
      <c r="H114" s="44">
        <v>566.5</v>
      </c>
      <c r="I114" s="45">
        <f t="shared" si="7"/>
        <v>566.5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477</v>
      </c>
      <c r="G115" s="44">
        <v>845.01</v>
      </c>
      <c r="H115" s="44">
        <v>566.5</v>
      </c>
      <c r="I115" s="45">
        <f t="shared" si="7"/>
        <v>1411.51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394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346</v>
      </c>
      <c r="B117" s="55" t="s">
        <v>97</v>
      </c>
      <c r="C117" s="57" t="s">
        <v>355</v>
      </c>
      <c r="D117" s="57" t="s">
        <v>199</v>
      </c>
      <c r="E117" s="46">
        <v>1</v>
      </c>
      <c r="F117" s="43" t="s">
        <v>395</v>
      </c>
      <c r="G117" s="44">
        <v>837.96</v>
      </c>
      <c r="H117" s="44">
        <v>566.5</v>
      </c>
      <c r="I117" s="45">
        <f t="shared" si="7"/>
        <v>1404.46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340</v>
      </c>
      <c r="B118" s="55" t="s">
        <v>93</v>
      </c>
      <c r="C118" s="57" t="s">
        <v>356</v>
      </c>
      <c r="D118" s="57" t="s">
        <v>181</v>
      </c>
      <c r="E118" s="46">
        <v>1</v>
      </c>
      <c r="F118" s="43" t="s">
        <v>396</v>
      </c>
      <c r="G118" s="44">
        <v>0</v>
      </c>
      <c r="H118" s="44">
        <v>1392.8</v>
      </c>
      <c r="I118" s="45">
        <f t="shared" si="7"/>
        <v>1392.8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346</v>
      </c>
      <c r="B119" s="55" t="s">
        <v>97</v>
      </c>
      <c r="C119" s="57" t="s">
        <v>356</v>
      </c>
      <c r="D119" s="57" t="s">
        <v>199</v>
      </c>
      <c r="E119" s="46">
        <v>1</v>
      </c>
      <c r="F119" s="43" t="s">
        <v>397</v>
      </c>
      <c r="G119" s="44">
        <v>844.87</v>
      </c>
      <c r="H119" s="44">
        <v>566.5</v>
      </c>
      <c r="I119" s="45">
        <f t="shared" si="7"/>
        <v>1411.37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344</v>
      </c>
      <c r="B120" s="55" t="s">
        <v>345</v>
      </c>
      <c r="C120" s="57" t="s">
        <v>356</v>
      </c>
      <c r="D120" s="57" t="s">
        <v>199</v>
      </c>
      <c r="E120" s="46">
        <v>1</v>
      </c>
      <c r="F120" s="43" t="s">
        <v>398</v>
      </c>
      <c r="G120" s="44">
        <v>852.4</v>
      </c>
      <c r="H120" s="44">
        <v>505.81</v>
      </c>
      <c r="I120" s="45">
        <f t="shared" si="7"/>
        <v>1358.21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340</v>
      </c>
      <c r="B121" s="55" t="s">
        <v>93</v>
      </c>
      <c r="C121" s="57" t="s">
        <v>357</v>
      </c>
      <c r="D121" s="57" t="s">
        <v>181</v>
      </c>
      <c r="E121" s="46">
        <v>1</v>
      </c>
      <c r="F121" s="43" t="s">
        <v>399</v>
      </c>
      <c r="G121" s="44">
        <v>0</v>
      </c>
      <c r="H121" s="44">
        <v>1392.8</v>
      </c>
      <c r="I121" s="45">
        <f t="shared" si="7"/>
        <v>1392.8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400</v>
      </c>
      <c r="G122" s="44">
        <v>16704.73</v>
      </c>
      <c r="H122" s="44">
        <v>566.5</v>
      </c>
      <c r="I122" s="45">
        <f t="shared" si="7"/>
        <v>17271.23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357</v>
      </c>
      <c r="D123" s="57" t="s">
        <v>199</v>
      </c>
      <c r="E123" s="46">
        <v>1</v>
      </c>
      <c r="F123" s="43" t="s">
        <v>401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199</v>
      </c>
      <c r="E124" s="46">
        <v>1</v>
      </c>
      <c r="F124" s="43" t="s">
        <v>402</v>
      </c>
      <c r="G124" s="44">
        <v>837.96</v>
      </c>
      <c r="H124" s="44">
        <v>566.5</v>
      </c>
      <c r="I124" s="45">
        <f t="shared" si="7"/>
        <v>1404.46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346</v>
      </c>
      <c r="B125" s="55" t="s">
        <v>97</v>
      </c>
      <c r="C125" s="57" t="s">
        <v>358</v>
      </c>
      <c r="D125" s="57" t="s">
        <v>181</v>
      </c>
      <c r="E125" s="46">
        <v>1</v>
      </c>
      <c r="F125" s="43" t="s">
        <v>403</v>
      </c>
      <c r="G125" s="44">
        <v>0</v>
      </c>
      <c r="H125" s="44">
        <v>566.5</v>
      </c>
      <c r="I125" s="45">
        <f t="shared" si="7"/>
        <v>566.5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404</v>
      </c>
      <c r="G126" s="44">
        <v>831.26</v>
      </c>
      <c r="H126" s="44">
        <v>1392.8</v>
      </c>
      <c r="I126" s="45">
        <f t="shared" si="7"/>
        <v>2224.06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359</v>
      </c>
      <c r="D127" s="57" t="s">
        <v>199</v>
      </c>
      <c r="E127" s="46">
        <v>1</v>
      </c>
      <c r="F127" s="43" t="s">
        <v>405</v>
      </c>
      <c r="G127" s="44">
        <v>1006.04</v>
      </c>
      <c r="H127" s="44">
        <v>1392.8</v>
      </c>
      <c r="I127" s="45">
        <f t="shared" si="7"/>
        <v>2398.84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340</v>
      </c>
      <c r="B128" s="55" t="s">
        <v>93</v>
      </c>
      <c r="C128" s="57" t="s">
        <v>360</v>
      </c>
      <c r="D128" s="57" t="s">
        <v>199</v>
      </c>
      <c r="E128" s="46">
        <v>1</v>
      </c>
      <c r="F128" s="43" t="s">
        <v>406</v>
      </c>
      <c r="G128" s="44">
        <v>837.96</v>
      </c>
      <c r="H128" s="44">
        <v>1392.8</v>
      </c>
      <c r="I128" s="45">
        <f t="shared" si="7"/>
        <v>2230.7600000000002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407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346</v>
      </c>
      <c r="B130" s="55" t="s">
        <v>97</v>
      </c>
      <c r="C130" s="57" t="s">
        <v>361</v>
      </c>
      <c r="D130" s="57" t="s">
        <v>181</v>
      </c>
      <c r="E130" s="46">
        <v>1</v>
      </c>
      <c r="F130" s="43" t="s">
        <v>408</v>
      </c>
      <c r="G130" s="44">
        <v>0</v>
      </c>
      <c r="H130" s="44">
        <v>566.5</v>
      </c>
      <c r="I130" s="45">
        <f t="shared" si="7"/>
        <v>566.5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362</v>
      </c>
      <c r="D131" s="57" t="s">
        <v>181</v>
      </c>
      <c r="E131" s="46">
        <v>1</v>
      </c>
      <c r="F131" s="43" t="s">
        <v>409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410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340</v>
      </c>
      <c r="B133" s="55" t="s">
        <v>93</v>
      </c>
      <c r="C133" s="57" t="s">
        <v>248</v>
      </c>
      <c r="D133" s="57" t="s">
        <v>181</v>
      </c>
      <c r="E133" s="46">
        <v>1</v>
      </c>
      <c r="F133" s="43" t="s">
        <v>411</v>
      </c>
      <c r="G133" s="44">
        <v>0</v>
      </c>
      <c r="H133" s="44">
        <v>1392.8</v>
      </c>
      <c r="I133" s="45">
        <f t="shared" si="7"/>
        <v>1392.8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346</v>
      </c>
      <c r="B134" s="55" t="s">
        <v>97</v>
      </c>
      <c r="C134" s="57" t="s">
        <v>248</v>
      </c>
      <c r="D134" s="57" t="s">
        <v>199</v>
      </c>
      <c r="E134" s="46">
        <v>1</v>
      </c>
      <c r="F134" s="43" t="s">
        <v>490</v>
      </c>
      <c r="G134" s="44">
        <v>1509.2</v>
      </c>
      <c r="H134" s="44">
        <v>1392.8</v>
      </c>
      <c r="I134" s="45">
        <f t="shared" si="7"/>
        <v>2902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248</v>
      </c>
      <c r="D135" s="57" t="s">
        <v>199</v>
      </c>
      <c r="E135" s="46">
        <v>1</v>
      </c>
      <c r="F135" s="43" t="s">
        <v>413</v>
      </c>
      <c r="G135" s="44">
        <v>837.83</v>
      </c>
      <c r="H135" s="44">
        <v>1392.8</v>
      </c>
      <c r="I135" s="45">
        <f t="shared" si="7"/>
        <v>2230.63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199</v>
      </c>
      <c r="E136" s="46">
        <v>1</v>
      </c>
      <c r="F136" s="43" t="s">
        <v>414</v>
      </c>
      <c r="G136" s="44">
        <v>809.06</v>
      </c>
      <c r="H136" s="44">
        <v>1392.8</v>
      </c>
      <c r="I136" s="45">
        <f t="shared" si="7"/>
        <v>2201.8599999999997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78" t="s">
        <v>505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181</v>
      </c>
      <c r="E138" s="46">
        <v>1</v>
      </c>
      <c r="F138" s="79" t="s">
        <v>495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417</v>
      </c>
      <c r="G139" s="44">
        <v>1509.2</v>
      </c>
      <c r="H139" s="44">
        <v>1392.8</v>
      </c>
      <c r="I139" s="45">
        <f t="shared" si="7"/>
        <v>2902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340</v>
      </c>
      <c r="B140" s="55" t="s">
        <v>93</v>
      </c>
      <c r="C140" s="57" t="s">
        <v>194</v>
      </c>
      <c r="D140" s="57" t="s">
        <v>199</v>
      </c>
      <c r="E140" s="46">
        <v>1</v>
      </c>
      <c r="F140" s="43" t="s">
        <v>418</v>
      </c>
      <c r="G140" s="44">
        <v>809.06</v>
      </c>
      <c r="H140" s="44">
        <v>1392.8</v>
      </c>
      <c r="I140" s="45">
        <f t="shared" si="7"/>
        <v>2201.8599999999997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419</v>
      </c>
      <c r="G141" s="44">
        <v>852.4</v>
      </c>
      <c r="H141" s="44">
        <v>849.76</v>
      </c>
      <c r="I141" s="45">
        <f t="shared" si="7"/>
        <v>1702.1599999999999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478</v>
      </c>
      <c r="G142" s="44">
        <v>1509.2</v>
      </c>
      <c r="H142" s="44">
        <v>849.76</v>
      </c>
      <c r="I142" s="45">
        <f t="shared" si="7"/>
        <v>2358.96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421</v>
      </c>
      <c r="G143" s="44">
        <v>809.06</v>
      </c>
      <c r="H143" s="44">
        <v>849.76</v>
      </c>
      <c r="I143" s="45">
        <f t="shared" si="7"/>
        <v>1658.82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341</v>
      </c>
      <c r="B144" s="55" t="s">
        <v>342</v>
      </c>
      <c r="C144" s="57" t="s">
        <v>194</v>
      </c>
      <c r="D144" s="57" t="s">
        <v>199</v>
      </c>
      <c r="E144" s="46">
        <v>1</v>
      </c>
      <c r="F144" s="43" t="s">
        <v>422</v>
      </c>
      <c r="G144" s="44">
        <v>837.26</v>
      </c>
      <c r="H144" s="44">
        <v>849.76</v>
      </c>
      <c r="I144" s="45">
        <f t="shared" si="7"/>
        <v>1687.02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423</v>
      </c>
      <c r="G145" s="44">
        <v>824.75</v>
      </c>
      <c r="H145" s="44">
        <v>566.5</v>
      </c>
      <c r="I145" s="45">
        <f t="shared" si="7"/>
        <v>1391.25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346</v>
      </c>
      <c r="B146" s="55" t="s">
        <v>97</v>
      </c>
      <c r="C146" s="57" t="s">
        <v>194</v>
      </c>
      <c r="D146" s="57" t="s">
        <v>199</v>
      </c>
      <c r="E146" s="46">
        <v>1</v>
      </c>
      <c r="F146" s="43" t="s">
        <v>424</v>
      </c>
      <c r="G146" s="44">
        <v>831.26</v>
      </c>
      <c r="H146" s="44">
        <v>566.5</v>
      </c>
      <c r="I146" s="45">
        <f t="shared" si="7"/>
        <v>1397.76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363</v>
      </c>
      <c r="B147" s="55" t="s">
        <v>342</v>
      </c>
      <c r="C147" s="57" t="s">
        <v>194</v>
      </c>
      <c r="D147" s="57" t="s">
        <v>199</v>
      </c>
      <c r="E147" s="46">
        <v>1</v>
      </c>
      <c r="F147" s="43" t="s">
        <v>425</v>
      </c>
      <c r="G147" s="44">
        <v>1509.2</v>
      </c>
      <c r="H147" s="44">
        <v>849.76</v>
      </c>
      <c r="I147" s="45">
        <f t="shared" si="7"/>
        <v>2358.96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57" t="s">
        <v>181</v>
      </c>
      <c r="E148" s="46">
        <v>1</v>
      </c>
      <c r="F148" s="43" t="s">
        <v>426</v>
      </c>
      <c r="G148" s="44">
        <v>0</v>
      </c>
      <c r="H148" s="44">
        <v>1392.8</v>
      </c>
      <c r="I148" s="45">
        <f t="shared" si="7"/>
        <v>1392.8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254</v>
      </c>
      <c r="D149" s="57" t="s">
        <v>181</v>
      </c>
      <c r="E149" s="46">
        <v>1</v>
      </c>
      <c r="F149" s="43" t="s">
        <v>427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181</v>
      </c>
      <c r="E150" s="46">
        <v>1</v>
      </c>
      <c r="F150" s="43" t="s">
        <v>428</v>
      </c>
      <c r="G150" s="44">
        <v>0</v>
      </c>
      <c r="H150" s="44">
        <v>1392.8</v>
      </c>
      <c r="I150" s="45">
        <f t="shared" si="7"/>
        <v>1392.8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340</v>
      </c>
      <c r="B151" s="55" t="s">
        <v>93</v>
      </c>
      <c r="C151" s="57" t="s">
        <v>364</v>
      </c>
      <c r="D151" s="57" t="s">
        <v>199</v>
      </c>
      <c r="E151" s="46">
        <v>1</v>
      </c>
      <c r="F151" s="43" t="s">
        <v>429</v>
      </c>
      <c r="G151" s="44">
        <v>809.06</v>
      </c>
      <c r="H151" s="44">
        <v>1392.8</v>
      </c>
      <c r="I151" s="45">
        <f t="shared" si="7"/>
        <v>2201.8599999999997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346</v>
      </c>
      <c r="B152" s="55" t="s">
        <v>97</v>
      </c>
      <c r="C152" s="57" t="s">
        <v>364</v>
      </c>
      <c r="D152" s="57" t="s">
        <v>199</v>
      </c>
      <c r="E152" s="46">
        <v>1</v>
      </c>
      <c r="F152" s="78" t="s">
        <v>506</v>
      </c>
      <c r="G152" s="44">
        <v>809.06</v>
      </c>
      <c r="H152" s="44">
        <v>566.5</v>
      </c>
      <c r="I152" s="45">
        <f t="shared" si="7"/>
        <v>1375.56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341</v>
      </c>
      <c r="B153" s="55" t="s">
        <v>342</v>
      </c>
      <c r="C153" s="57" t="s">
        <v>364</v>
      </c>
      <c r="D153" s="57" t="s">
        <v>199</v>
      </c>
      <c r="E153" s="46">
        <v>1</v>
      </c>
      <c r="F153" s="43" t="s">
        <v>431</v>
      </c>
      <c r="G153" s="44">
        <v>1509.2</v>
      </c>
      <c r="H153" s="44">
        <v>849.76</v>
      </c>
      <c r="I153" s="45">
        <f t="shared" si="7"/>
        <v>2358.96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346</v>
      </c>
      <c r="B154" s="55" t="s">
        <v>97</v>
      </c>
      <c r="C154" s="57" t="s">
        <v>260</v>
      </c>
      <c r="D154" s="57" t="s">
        <v>181</v>
      </c>
      <c r="E154" s="46">
        <v>1</v>
      </c>
      <c r="F154" s="78" t="s">
        <v>432</v>
      </c>
      <c r="G154" s="44">
        <v>0</v>
      </c>
      <c r="H154" s="44">
        <v>566.5</v>
      </c>
      <c r="I154" s="45">
        <f t="shared" si="7"/>
        <v>566.5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340</v>
      </c>
      <c r="B155" s="55" t="s">
        <v>93</v>
      </c>
      <c r="C155" s="57" t="s">
        <v>260</v>
      </c>
      <c r="D155" s="73" t="s">
        <v>183</v>
      </c>
      <c r="E155" s="46">
        <v>1</v>
      </c>
      <c r="F155" s="79" t="s">
        <v>183</v>
      </c>
      <c r="G155" s="44">
        <v>0</v>
      </c>
      <c r="H155" s="44">
        <v>0</v>
      </c>
      <c r="I155" s="45">
        <f t="shared" si="7"/>
        <v>0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434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365</v>
      </c>
      <c r="B157" s="55" t="s">
        <v>93</v>
      </c>
      <c r="C157" s="57" t="s">
        <v>260</v>
      </c>
      <c r="D157" s="57" t="s">
        <v>181</v>
      </c>
      <c r="E157" s="46">
        <v>1</v>
      </c>
      <c r="F157" s="43" t="s">
        <v>435</v>
      </c>
      <c r="G157" s="44">
        <v>0</v>
      </c>
      <c r="H157" s="44">
        <v>1392.8</v>
      </c>
      <c r="I157" s="45">
        <f t="shared" si="7"/>
        <v>1392.8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341</v>
      </c>
      <c r="B158" s="55" t="s">
        <v>342</v>
      </c>
      <c r="C158" s="57" t="s">
        <v>198</v>
      </c>
      <c r="D158" s="57" t="s">
        <v>199</v>
      </c>
      <c r="E158" s="46">
        <v>1</v>
      </c>
      <c r="F158" s="78" t="s">
        <v>507</v>
      </c>
      <c r="G158" s="44">
        <v>809.06</v>
      </c>
      <c r="H158" s="44">
        <v>849.76</v>
      </c>
      <c r="I158" s="45">
        <f t="shared" si="7"/>
        <v>1658.82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343</v>
      </c>
      <c r="B159" s="55" t="s">
        <v>101</v>
      </c>
      <c r="C159" s="57" t="s">
        <v>198</v>
      </c>
      <c r="D159" s="57" t="s">
        <v>199</v>
      </c>
      <c r="E159" s="46">
        <v>1</v>
      </c>
      <c r="F159" s="43" t="s">
        <v>437</v>
      </c>
      <c r="G159" s="44">
        <v>1509.2</v>
      </c>
      <c r="H159" s="44">
        <v>849.76</v>
      </c>
      <c r="I159" s="45">
        <f t="shared" si="7"/>
        <v>2358.96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181</v>
      </c>
      <c r="E160" s="46">
        <v>1</v>
      </c>
      <c r="F160" s="43" t="s">
        <v>438</v>
      </c>
      <c r="G160" s="44">
        <v>0</v>
      </c>
      <c r="H160" s="44">
        <v>1392.8</v>
      </c>
      <c r="I160" s="45">
        <f t="shared" si="7"/>
        <v>1392.8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340</v>
      </c>
      <c r="B161" s="55" t="s">
        <v>93</v>
      </c>
      <c r="C161" s="57" t="s">
        <v>366</v>
      </c>
      <c r="D161" s="57" t="s">
        <v>199</v>
      </c>
      <c r="E161" s="46">
        <v>1</v>
      </c>
      <c r="F161" s="43" t="s">
        <v>439</v>
      </c>
      <c r="G161" s="44">
        <v>852.4</v>
      </c>
      <c r="H161" s="44">
        <v>1392.8</v>
      </c>
      <c r="I161" s="45">
        <f t="shared" si="7"/>
        <v>2245.1999999999998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440</v>
      </c>
      <c r="G162" s="44">
        <v>831.26</v>
      </c>
      <c r="H162" s="44">
        <v>849.76</v>
      </c>
      <c r="I162" s="45">
        <f t="shared" si="7"/>
        <v>1681.02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441</v>
      </c>
      <c r="G163" s="44">
        <v>824.11</v>
      </c>
      <c r="H163" s="44">
        <v>849.76</v>
      </c>
      <c r="I163" s="45">
        <f t="shared" si="7"/>
        <v>1673.87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442</v>
      </c>
      <c r="G164" s="44">
        <v>1109.1600000000001</v>
      </c>
      <c r="H164" s="44">
        <v>849.76</v>
      </c>
      <c r="I164" s="45">
        <f t="shared" si="7"/>
        <v>1958.92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443</v>
      </c>
      <c r="G165" s="44">
        <v>811.5</v>
      </c>
      <c r="H165" s="44">
        <v>849.76</v>
      </c>
      <c r="I165" s="45">
        <f t="shared" si="7"/>
        <v>1661.26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341</v>
      </c>
      <c r="B166" s="55" t="s">
        <v>342</v>
      </c>
      <c r="C166" s="57" t="s">
        <v>366</v>
      </c>
      <c r="D166" s="57" t="s">
        <v>199</v>
      </c>
      <c r="E166" s="46">
        <v>1</v>
      </c>
      <c r="F166" s="43" t="s">
        <v>444</v>
      </c>
      <c r="G166" s="44">
        <v>831.13</v>
      </c>
      <c r="H166" s="44">
        <v>849.76</v>
      </c>
      <c r="I166" s="45">
        <f t="shared" si="7"/>
        <v>1680.8899999999999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366</v>
      </c>
      <c r="D167" s="57" t="s">
        <v>199</v>
      </c>
      <c r="E167" s="46">
        <v>1</v>
      </c>
      <c r="F167" s="43" t="s">
        <v>445</v>
      </c>
      <c r="G167" s="44">
        <v>844.87</v>
      </c>
      <c r="H167" s="44">
        <v>566.5</v>
      </c>
      <c r="I167" s="45">
        <f t="shared" si="7"/>
        <v>1411.37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346</v>
      </c>
      <c r="B168" s="55" t="s">
        <v>97</v>
      </c>
      <c r="C168" s="57" t="s">
        <v>291</v>
      </c>
      <c r="D168" s="57" t="s">
        <v>199</v>
      </c>
      <c r="E168" s="46">
        <v>1</v>
      </c>
      <c r="F168" s="43" t="s">
        <v>446</v>
      </c>
      <c r="G168" s="44">
        <v>852.4</v>
      </c>
      <c r="H168" s="44">
        <v>566.5</v>
      </c>
      <c r="I168" s="45">
        <f t="shared" si="7"/>
        <v>1418.9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94</v>
      </c>
      <c r="B169" s="55" t="s">
        <v>342</v>
      </c>
      <c r="C169" s="57" t="s">
        <v>291</v>
      </c>
      <c r="D169" s="57" t="s">
        <v>199</v>
      </c>
      <c r="E169" s="46">
        <v>1</v>
      </c>
      <c r="F169" s="43" t="s">
        <v>487</v>
      </c>
      <c r="G169" s="44">
        <v>809.06</v>
      </c>
      <c r="H169" s="44">
        <v>849.76</v>
      </c>
      <c r="I169" s="45">
        <f t="shared" si="7"/>
        <v>1658.82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341</v>
      </c>
      <c r="B170" s="55" t="s">
        <v>342</v>
      </c>
      <c r="C170" s="57" t="s">
        <v>291</v>
      </c>
      <c r="D170" s="57" t="s">
        <v>181</v>
      </c>
      <c r="E170" s="46">
        <v>1</v>
      </c>
      <c r="F170" s="43" t="s">
        <v>448</v>
      </c>
      <c r="G170" s="44">
        <v>0</v>
      </c>
      <c r="H170" s="44">
        <v>849.76</v>
      </c>
      <c r="I170" s="45">
        <f t="shared" si="7"/>
        <v>849.76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449</v>
      </c>
      <c r="G171" s="44">
        <v>852.4</v>
      </c>
      <c r="H171" s="44">
        <v>1392.8</v>
      </c>
      <c r="I171" s="45">
        <f t="shared" si="7"/>
        <v>2245.1999999999998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450</v>
      </c>
      <c r="G172" s="44">
        <v>844.87</v>
      </c>
      <c r="H172" s="44">
        <v>1392.8</v>
      </c>
      <c r="I172" s="45">
        <f t="shared" si="7"/>
        <v>2237.67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340</v>
      </c>
      <c r="B173" s="55" t="s">
        <v>93</v>
      </c>
      <c r="C173" s="57" t="s">
        <v>291</v>
      </c>
      <c r="D173" s="57" t="s">
        <v>199</v>
      </c>
      <c r="E173" s="46">
        <v>1</v>
      </c>
      <c r="F173" s="43" t="s">
        <v>451</v>
      </c>
      <c r="G173" s="44">
        <v>852.4</v>
      </c>
      <c r="H173" s="44">
        <v>1392.8</v>
      </c>
      <c r="I173" s="45">
        <f t="shared" si="7"/>
        <v>2245.1999999999998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346</v>
      </c>
      <c r="B174" s="55" t="s">
        <v>97</v>
      </c>
      <c r="C174" s="57" t="s">
        <v>291</v>
      </c>
      <c r="D174" s="57" t="s">
        <v>199</v>
      </c>
      <c r="E174" s="46">
        <v>1</v>
      </c>
      <c r="F174" s="43" t="s">
        <v>452</v>
      </c>
      <c r="G174" s="44">
        <v>852.4</v>
      </c>
      <c r="H174" s="44">
        <v>566.5</v>
      </c>
      <c r="I174" s="45">
        <f t="shared" si="7"/>
        <v>1418.9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344</v>
      </c>
      <c r="B175" s="55" t="s">
        <v>345</v>
      </c>
      <c r="C175" s="57" t="s">
        <v>291</v>
      </c>
      <c r="D175" s="57" t="s">
        <v>199</v>
      </c>
      <c r="E175" s="46">
        <v>1</v>
      </c>
      <c r="F175" s="43" t="s">
        <v>453</v>
      </c>
      <c r="G175" s="44">
        <v>1509.2</v>
      </c>
      <c r="H175" s="44">
        <v>505.81</v>
      </c>
      <c r="I175" s="45">
        <f t="shared" si="7"/>
        <v>2015.01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367</v>
      </c>
      <c r="B176" s="55" t="s">
        <v>103</v>
      </c>
      <c r="C176" s="57" t="s">
        <v>291</v>
      </c>
      <c r="D176" s="57" t="s">
        <v>199</v>
      </c>
      <c r="E176" s="46">
        <v>1</v>
      </c>
      <c r="F176" s="43" t="s">
        <v>454</v>
      </c>
      <c r="G176" s="44">
        <v>1509.2</v>
      </c>
      <c r="H176" s="44">
        <v>364.17</v>
      </c>
      <c r="I176" s="45">
        <f t="shared" si="7"/>
        <v>1873.3700000000001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455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181</v>
      </c>
      <c r="E178" s="46">
        <v>1</v>
      </c>
      <c r="F178" s="43" t="s">
        <v>456</v>
      </c>
      <c r="G178" s="44">
        <v>0</v>
      </c>
      <c r="H178" s="44">
        <v>1392.8</v>
      </c>
      <c r="I178" s="45">
        <f t="shared" si="7"/>
        <v>1392.8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340</v>
      </c>
      <c r="B179" s="55" t="s">
        <v>93</v>
      </c>
      <c r="C179" s="57" t="s">
        <v>203</v>
      </c>
      <c r="D179" s="57" t="s">
        <v>199</v>
      </c>
      <c r="E179" s="46">
        <v>1</v>
      </c>
      <c r="F179" s="43" t="s">
        <v>457</v>
      </c>
      <c r="G179" s="44">
        <v>1509.2</v>
      </c>
      <c r="H179" s="44">
        <v>1392.8</v>
      </c>
      <c r="I179" s="45">
        <f t="shared" si="7"/>
        <v>2902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346</v>
      </c>
      <c r="B180" s="55" t="s">
        <v>97</v>
      </c>
      <c r="C180" s="57" t="s">
        <v>295</v>
      </c>
      <c r="D180" s="57" t="s">
        <v>199</v>
      </c>
      <c r="E180" s="46">
        <v>1</v>
      </c>
      <c r="F180" s="43" t="s">
        <v>458</v>
      </c>
      <c r="G180" s="44">
        <v>844.87</v>
      </c>
      <c r="H180" s="44">
        <v>566.5</v>
      </c>
      <c r="I180" s="45">
        <f t="shared" si="7"/>
        <v>1411.37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295</v>
      </c>
      <c r="D181" s="57" t="s">
        <v>199</v>
      </c>
      <c r="E181" s="46">
        <v>1</v>
      </c>
      <c r="F181" s="43" t="s">
        <v>459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299</v>
      </c>
      <c r="D182" s="57" t="s">
        <v>199</v>
      </c>
      <c r="E182" s="46">
        <v>1</v>
      </c>
      <c r="F182" s="43" t="s">
        <v>460</v>
      </c>
      <c r="G182" s="44">
        <v>1509.2</v>
      </c>
      <c r="H182" s="44">
        <v>849.76</v>
      </c>
      <c r="I182" s="45">
        <f t="shared" si="7"/>
        <v>2358.96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341</v>
      </c>
      <c r="B183" s="55" t="s">
        <v>342</v>
      </c>
      <c r="C183" s="57" t="s">
        <v>368</v>
      </c>
      <c r="D183" s="57" t="s">
        <v>199</v>
      </c>
      <c r="E183" s="46">
        <v>1</v>
      </c>
      <c r="F183" s="43" t="s">
        <v>461</v>
      </c>
      <c r="G183" s="44">
        <v>987.85</v>
      </c>
      <c r="H183" s="44">
        <v>849.76</v>
      </c>
      <c r="I183" s="45">
        <f t="shared" si="7"/>
        <v>1837.6100000000001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462</v>
      </c>
      <c r="G184" s="44">
        <v>990.49</v>
      </c>
      <c r="H184" s="44">
        <v>505.81</v>
      </c>
      <c r="I184" s="45">
        <f t="shared" si="7"/>
        <v>1496.3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344</v>
      </c>
      <c r="B185" s="55" t="s">
        <v>345</v>
      </c>
      <c r="C185" s="57" t="s">
        <v>368</v>
      </c>
      <c r="D185" s="57" t="s">
        <v>199</v>
      </c>
      <c r="E185" s="46">
        <v>1</v>
      </c>
      <c r="F185" s="43" t="s">
        <v>463</v>
      </c>
      <c r="G185" s="44">
        <v>987.85</v>
      </c>
      <c r="H185" s="44">
        <v>505.81</v>
      </c>
      <c r="I185" s="45">
        <f t="shared" si="7"/>
        <v>1493.66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368</v>
      </c>
      <c r="D186" s="57" t="s">
        <v>199</v>
      </c>
      <c r="E186" s="46">
        <v>1</v>
      </c>
      <c r="F186" s="43" t="s">
        <v>464</v>
      </c>
      <c r="G186" s="44">
        <v>974.09</v>
      </c>
      <c r="H186" s="44">
        <v>566.5</v>
      </c>
      <c r="I186" s="45">
        <f t="shared" si="7"/>
        <v>1540.5900000000001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346</v>
      </c>
      <c r="B187" s="55" t="s">
        <v>97</v>
      </c>
      <c r="C187" s="57" t="s">
        <v>369</v>
      </c>
      <c r="D187" s="57" t="s">
        <v>199</v>
      </c>
      <c r="E187" s="46">
        <v>1</v>
      </c>
      <c r="F187" s="43" t="s">
        <v>465</v>
      </c>
      <c r="G187" s="44">
        <v>852.4</v>
      </c>
      <c r="H187" s="44">
        <v>566.5</v>
      </c>
      <c r="I187" s="45">
        <f t="shared" si="7"/>
        <v>1418.9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341</v>
      </c>
      <c r="B188" s="55" t="s">
        <v>342</v>
      </c>
      <c r="C188" s="57" t="s">
        <v>370</v>
      </c>
      <c r="D188" s="73" t="s">
        <v>199</v>
      </c>
      <c r="E188" s="46">
        <v>1</v>
      </c>
      <c r="F188" s="79" t="s">
        <v>496</v>
      </c>
      <c r="G188" s="44">
        <v>24932.44</v>
      </c>
      <c r="H188" s="44">
        <v>849.76</v>
      </c>
      <c r="I188" s="45">
        <f t="shared" si="7"/>
        <v>25782.199999999997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370</v>
      </c>
      <c r="D189" s="57" t="s">
        <v>181</v>
      </c>
      <c r="E189" s="46">
        <v>1</v>
      </c>
      <c r="F189" s="43" t="s">
        <v>467</v>
      </c>
      <c r="G189" s="44">
        <v>0</v>
      </c>
      <c r="H189" s="44">
        <v>566.5</v>
      </c>
      <c r="I189" s="45">
        <f t="shared" si="7"/>
        <v>566.5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371</v>
      </c>
      <c r="D190" s="57" t="s">
        <v>183</v>
      </c>
      <c r="E190" s="46">
        <v>1</v>
      </c>
      <c r="F190" s="79" t="s">
        <v>183</v>
      </c>
      <c r="G190" s="44">
        <v>0</v>
      </c>
      <c r="H190" s="44">
        <v>0</v>
      </c>
      <c r="I190" s="45">
        <f t="shared" si="7"/>
        <v>0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47" t="s">
        <v>346</v>
      </c>
      <c r="B191" s="55" t="s">
        <v>97</v>
      </c>
      <c r="C191" s="57" t="s">
        <v>372</v>
      </c>
      <c r="D191" s="57" t="s">
        <v>199</v>
      </c>
      <c r="E191" s="46">
        <v>1</v>
      </c>
      <c r="F191" s="43" t="s">
        <v>469</v>
      </c>
      <c r="G191" s="44">
        <v>853.96</v>
      </c>
      <c r="H191" s="44">
        <v>566.5</v>
      </c>
      <c r="I191" s="45">
        <f t="shared" si="7"/>
        <v>1420.46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340</v>
      </c>
      <c r="B192" s="55" t="s">
        <v>93</v>
      </c>
      <c r="C192" s="55" t="s">
        <v>373</v>
      </c>
      <c r="D192" s="57" t="s">
        <v>181</v>
      </c>
      <c r="E192" s="46">
        <v>1</v>
      </c>
      <c r="F192" s="47" t="s">
        <v>470</v>
      </c>
      <c r="G192" s="44">
        <v>0</v>
      </c>
      <c r="H192" s="44">
        <v>1392.8</v>
      </c>
      <c r="I192" s="45">
        <f t="shared" si="7"/>
        <v>1392.8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365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471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340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472</v>
      </c>
      <c r="G194" s="44">
        <v>837.26</v>
      </c>
      <c r="H194" s="44">
        <v>1392.8</v>
      </c>
      <c r="I194" s="45">
        <f t="shared" si="7"/>
        <v>2230.06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365</v>
      </c>
      <c r="B195" s="55" t="s">
        <v>93</v>
      </c>
      <c r="C195" s="55" t="s">
        <v>373</v>
      </c>
      <c r="D195" s="57" t="s">
        <v>199</v>
      </c>
      <c r="E195" s="46">
        <v>1</v>
      </c>
      <c r="F195" s="56" t="s">
        <v>473</v>
      </c>
      <c r="G195" s="44">
        <v>844.13</v>
      </c>
      <c r="H195" s="44">
        <v>1392.8</v>
      </c>
      <c r="I195" s="45">
        <f t="shared" si="7"/>
        <v>2236.9299999999998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346</v>
      </c>
      <c r="B196" s="55" t="s">
        <v>97</v>
      </c>
      <c r="C196" s="55" t="s">
        <v>373</v>
      </c>
      <c r="D196" s="57" t="s">
        <v>181</v>
      </c>
      <c r="E196" s="46">
        <v>1</v>
      </c>
      <c r="F196" s="56" t="s">
        <v>474</v>
      </c>
      <c r="G196" s="44">
        <v>0</v>
      </c>
      <c r="H196" s="44">
        <v>566.5</v>
      </c>
      <c r="I196" s="45">
        <f t="shared" si="7"/>
        <v>566.5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475</v>
      </c>
      <c r="G197" s="44">
        <v>830.46</v>
      </c>
      <c r="H197" s="44">
        <v>1392.8</v>
      </c>
      <c r="I197" s="45">
        <f t="shared" si="7"/>
        <v>2223.2600000000002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x14ac:dyDescent="0.2">
      <c r="A198" s="56" t="s">
        <v>365</v>
      </c>
      <c r="B198" s="55" t="s">
        <v>93</v>
      </c>
      <c r="C198" s="55" t="s">
        <v>373</v>
      </c>
      <c r="D198" s="57" t="s">
        <v>199</v>
      </c>
      <c r="E198" s="46">
        <v>1</v>
      </c>
      <c r="F198" s="56" t="s">
        <v>476</v>
      </c>
      <c r="G198" s="44">
        <v>837.13</v>
      </c>
      <c r="H198" s="44">
        <v>1392.8</v>
      </c>
      <c r="I198" s="45">
        <f t="shared" si="7"/>
        <v>2229.9299999999998</v>
      </c>
      <c r="J198" s="21"/>
      <c r="K198" s="21"/>
      <c r="L198" s="21"/>
      <c r="M198" s="21"/>
      <c r="N198" s="21"/>
      <c r="O198" s="21"/>
      <c r="P198" s="21"/>
      <c r="Q198" s="21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45" x14ac:dyDescent="0.2">
      <c r="A199" s="63" t="s">
        <v>84</v>
      </c>
      <c r="B199" s="63" t="s">
        <v>85</v>
      </c>
      <c r="C199" s="35" t="s">
        <v>86</v>
      </c>
      <c r="D199" s="35" t="s">
        <v>87</v>
      </c>
      <c r="E199" s="35" t="s">
        <v>88</v>
      </c>
      <c r="F199" s="48"/>
      <c r="G199" s="35" t="s">
        <v>89</v>
      </c>
      <c r="H199" s="35" t="s">
        <v>90</v>
      </c>
      <c r="I199" s="35" t="s">
        <v>91</v>
      </c>
      <c r="J199" s="21"/>
      <c r="K199" s="21"/>
      <c r="L199" s="21"/>
      <c r="M199" s="21"/>
      <c r="N199" s="21"/>
      <c r="O199" s="21"/>
      <c r="P199" s="21"/>
      <c r="Q199" s="21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spans="1:30" x14ac:dyDescent="0.2">
      <c r="A200" s="58" t="s">
        <v>92</v>
      </c>
      <c r="B200" s="59" t="s">
        <v>93</v>
      </c>
      <c r="C200" s="28">
        <f>SUMIFS($E$95:$E$198,$B$95:$B$198,"FGS-1",$D$95:$D$198,"&lt;&gt;VAGO")</f>
        <v>43</v>
      </c>
      <c r="D200" s="28">
        <f>SUMIFS($E$95:$E$198,$B$95:$B$198,"FGS-1",$D$95:$D$198,"VAGO")</f>
        <v>1</v>
      </c>
      <c r="E200" s="28">
        <f t="shared" ref="E200:E205" si="8">C200+D200</f>
        <v>44</v>
      </c>
      <c r="F200" s="29"/>
      <c r="G200" s="45">
        <f>SUMIF($B$95:$B$198,"FGS-1",$G$95:$G$198)</f>
        <v>19730.91</v>
      </c>
      <c r="H200" s="45">
        <f>SUMIF($B$95:$B$198,"FGS-1",$H$95:$H$198)</f>
        <v>59890.400000000045</v>
      </c>
      <c r="I200" s="71">
        <f>SUMIF($B$95:$B$198,"FGS-1",$I$95:$I$198)</f>
        <v>79621.31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94</v>
      </c>
      <c r="B201" s="59" t="s">
        <v>95</v>
      </c>
      <c r="C201" s="28">
        <f>SUMIFS($E$95:$E$198,$B$95:$B$198,"FGS-2",$D$95:$D$198,"&lt;&gt;VAGO")</f>
        <v>20</v>
      </c>
      <c r="D201" s="28">
        <f>SUMIFS($E$95:$E$198,$B$95:$B$198,"FGS-2",$D$95:$D$198,"VAGO")</f>
        <v>0</v>
      </c>
      <c r="E201" s="28">
        <f t="shared" si="8"/>
        <v>20</v>
      </c>
      <c r="F201" s="32"/>
      <c r="G201" s="45">
        <f>SUMIF($B$95:$B$198,"FGS-2",$G$95:$G$198)</f>
        <v>42821.42</v>
      </c>
      <c r="H201" s="45">
        <f>SUMIF($B$95:$B$198,"FGS-2",$H$95:$H$198)</f>
        <v>16995.2</v>
      </c>
      <c r="I201" s="71">
        <f>SUMIF($B$95:$B$198,"FGS-2",$I$95:$I$198)</f>
        <v>59816.619999999988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58" t="s">
        <v>96</v>
      </c>
      <c r="B202" s="59" t="s">
        <v>97</v>
      </c>
      <c r="C202" s="28">
        <f>SUMIFS($E$95:$E$198,$B$95:$B$198,"FGS-3",$D$95:$D$198,"&lt;&gt;VAGO")</f>
        <v>31</v>
      </c>
      <c r="D202" s="28">
        <f>SUMIFS($E$95:$E$198,$B$95:$B$198,"FGS-3",$D$95:$D$198,"VAGO")</f>
        <v>1</v>
      </c>
      <c r="E202" s="28">
        <f t="shared" si="8"/>
        <v>32</v>
      </c>
      <c r="F202" s="32"/>
      <c r="G202" s="45">
        <f>SUMIF($B$95:$B$198,"FGS-3",$G$95:$G$198)</f>
        <v>34336.51</v>
      </c>
      <c r="H202" s="45">
        <f>SUMIF($B$95:$B$198,"FGS-3",$H$95:$H$198)</f>
        <v>18387.8</v>
      </c>
      <c r="I202" s="71">
        <f>SUMIF($B$95:$B$198,"FGS-3",$I$95:$I$198)</f>
        <v>52724.310000000012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60" t="s">
        <v>98</v>
      </c>
      <c r="B203" s="61" t="s">
        <v>99</v>
      </c>
      <c r="C203" s="28">
        <f>SUMIFS($E$95:$E$198,$B$95:$B$198,"FGA-1",$D$95:$D$198,"&lt;&gt;VAGO")</f>
        <v>5</v>
      </c>
      <c r="D203" s="28">
        <f>SUMIFS($E$95:$E$198,$B$95:$B$198,"FGA-1",$D$95:$D$198,"VAGO")</f>
        <v>0</v>
      </c>
      <c r="E203" s="28">
        <f t="shared" si="8"/>
        <v>5</v>
      </c>
      <c r="F203" s="34"/>
      <c r="G203" s="45">
        <f>SUMIF($B$95:$B$198,"FGA-1",$G$95:$G$198)</f>
        <v>5171.2</v>
      </c>
      <c r="H203" s="45">
        <f>SUMIF($B$95:$B$198,"FGA-1",$H$95:$H$198)</f>
        <v>2529.0500000000002</v>
      </c>
      <c r="I203" s="71">
        <f>SUMIF($B$95:$B$198,"FGA-1",$I$95:$I$198)</f>
        <v>7700.25</v>
      </c>
      <c r="J203" s="21"/>
      <c r="K203" s="21"/>
      <c r="L203" s="21"/>
      <c r="M203" s="21"/>
      <c r="N203" s="21"/>
      <c r="O203" s="21"/>
      <c r="P203" s="21"/>
      <c r="Q203" s="21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100</v>
      </c>
      <c r="B204" s="59" t="s">
        <v>101</v>
      </c>
      <c r="C204" s="28">
        <f>SUMIFS($E$95:$E$198,$B$95:$B$198,"FGA-2",$D$95:$D$198,"&lt;&gt;VAGO")</f>
        <v>2</v>
      </c>
      <c r="D204" s="28">
        <f>SUMIFS($E$95:$E$198,$B$95:$B$198,"FGA-2",$D$95:$D$198,"VAGO")</f>
        <v>0</v>
      </c>
      <c r="E204" s="28">
        <f t="shared" si="8"/>
        <v>2</v>
      </c>
      <c r="F204" s="34"/>
      <c r="G204" s="45">
        <f>SUMIF($B$95:$B$198,"FGA-2",$G$95:$G$198)</f>
        <v>2340.46</v>
      </c>
      <c r="H204" s="45">
        <f>SUMIF($B$95:$B$198,"FGA-2",$H$95:$H$198)</f>
        <v>1315.1100000000001</v>
      </c>
      <c r="I204" s="71">
        <f>SUMIF($B$95:$B$198,"FGA-2",$I$95:$I$198)</f>
        <v>3655.57</v>
      </c>
      <c r="J204" s="21"/>
      <c r="K204" s="21"/>
      <c r="L204" s="21"/>
      <c r="M204" s="21"/>
      <c r="N204" s="21"/>
      <c r="O204" s="21"/>
      <c r="P204" s="21"/>
      <c r="Q204" s="21"/>
      <c r="R204" s="40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1:30" x14ac:dyDescent="0.2">
      <c r="A205" s="58" t="s">
        <v>102</v>
      </c>
      <c r="B205" s="59" t="s">
        <v>103</v>
      </c>
      <c r="C205" s="28">
        <f>SUMIFS($E$95:$E$198,$B$95:$B$198,"FGA-3",$D$95:$D$198,"&lt;&gt;VAGO")</f>
        <v>1</v>
      </c>
      <c r="D205" s="28">
        <f>SUMIFS($E$95:$E$198,$B$95:$B$198,"FGA-3",$D$95:$D$198,"VAGO")</f>
        <v>0</v>
      </c>
      <c r="E205" s="28">
        <f t="shared" si="8"/>
        <v>1</v>
      </c>
      <c r="F205" s="32"/>
      <c r="G205" s="45">
        <f>SUMIF($B$95:$B$198,"FGA-3",$G$95:$G$198)</f>
        <v>1509.2</v>
      </c>
      <c r="H205" s="45">
        <f>SUMIF($B$95:$B$198,"FGA-3",$H$95:$H$198)</f>
        <v>364.17</v>
      </c>
      <c r="I205" s="71">
        <f>SUMIF($B$95:$B$198,"FGA-3",$I$95:$I$198)</f>
        <v>1873.3700000000001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0" x14ac:dyDescent="0.2">
      <c r="A206" s="63" t="s">
        <v>104</v>
      </c>
      <c r="B206" s="48"/>
      <c r="C206" s="35">
        <f t="shared" ref="C206:E206" si="9">SUM(C200:C205)</f>
        <v>102</v>
      </c>
      <c r="D206" s="35">
        <f t="shared" si="9"/>
        <v>2</v>
      </c>
      <c r="E206" s="35">
        <f t="shared" si="9"/>
        <v>104</v>
      </c>
      <c r="F206" s="48"/>
      <c r="G206" s="51">
        <f t="shared" ref="G206:I206" si="10">SUM(G200:G205)</f>
        <v>105909.7</v>
      </c>
      <c r="H206" s="51">
        <f t="shared" si="10"/>
        <v>99481.730000000054</v>
      </c>
      <c r="I206" s="51">
        <f t="shared" si="10"/>
        <v>205391.43</v>
      </c>
      <c r="J206" s="21"/>
      <c r="K206" s="21"/>
      <c r="L206" s="21"/>
      <c r="M206" s="21"/>
      <c r="N206" s="21"/>
      <c r="O206" s="21"/>
      <c r="P206" s="21"/>
      <c r="Q206" s="21"/>
      <c r="R206" s="49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spans="1:30" ht="33" customHeight="1" x14ac:dyDescent="0.2">
      <c r="A207" s="37"/>
      <c r="B207" s="37"/>
      <c r="C207" s="37"/>
      <c r="D207" s="37"/>
      <c r="E207" s="37"/>
      <c r="F207" s="37"/>
      <c r="G207" s="37"/>
      <c r="H207" s="37"/>
      <c r="I207" s="62"/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45" x14ac:dyDescent="0.2">
      <c r="A208" s="63"/>
      <c r="B208" s="63"/>
      <c r="C208" s="35" t="s">
        <v>105</v>
      </c>
      <c r="D208" s="35" t="s">
        <v>106</v>
      </c>
      <c r="E208" s="35" t="s">
        <v>107</v>
      </c>
      <c r="F208" s="25"/>
      <c r="G208" s="35" t="s">
        <v>108</v>
      </c>
      <c r="H208" s="35" t="s">
        <v>109</v>
      </c>
      <c r="I208" s="35" t="s">
        <v>110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x14ac:dyDescent="0.2">
      <c r="A209" s="63" t="s">
        <v>111</v>
      </c>
      <c r="B209" s="25"/>
      <c r="C209" s="35">
        <f>SUM(C39+C91+C206)</f>
        <v>157</v>
      </c>
      <c r="D209" s="35">
        <f>SUM(D39+D91+D206)</f>
        <v>9</v>
      </c>
      <c r="E209" s="35">
        <f>SUM(E39+E91+E206)</f>
        <v>166</v>
      </c>
      <c r="F209" s="25"/>
      <c r="G209" s="51">
        <f>SUM(H39+G91+G206)</f>
        <v>192579.47999999998</v>
      </c>
      <c r="H209" s="51">
        <f>SUM(I39+H91+H206)</f>
        <v>322144.41000000003</v>
      </c>
      <c r="I209" s="51">
        <f>SUM(J39+I91+I206)</f>
        <v>532723.8899999999</v>
      </c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ht="30" customHeight="1" x14ac:dyDescent="0.2">
      <c r="A210" s="37"/>
      <c r="B210" s="37"/>
      <c r="C210" s="37"/>
      <c r="D210" s="37"/>
      <c r="E210" s="37"/>
      <c r="F210" s="37"/>
      <c r="G210" s="37"/>
      <c r="H210" s="37"/>
      <c r="I210" s="62"/>
      <c r="J210" s="62"/>
      <c r="K210" s="7"/>
      <c r="L210" s="62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">
      <c r="A211" s="100" t="s">
        <v>112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21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113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1" t="s">
        <v>482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483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481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ht="15" customHeight="1" x14ac:dyDescent="0.2">
      <c r="A216" s="102" t="s">
        <v>480</v>
      </c>
      <c r="B216" s="93"/>
      <c r="C216" s="93"/>
      <c r="D216" s="93"/>
      <c r="E216" s="93"/>
      <c r="F216" s="94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3"/>
      <c r="B217" s="96"/>
      <c r="C217" s="96"/>
      <c r="D217" s="96"/>
      <c r="E217" s="96"/>
      <c r="F217" s="96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0" t="s">
        <v>114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104" t="s">
        <v>115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116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117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118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119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120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121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122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123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124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125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126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127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128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129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130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131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132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133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134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135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136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137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40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1:30" x14ac:dyDescent="0.2">
      <c r="A242" s="92" t="s">
        <v>138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139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140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141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142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143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144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145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146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147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148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149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150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151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152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153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154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x14ac:dyDescent="0.2">
      <c r="A259" s="92" t="s">
        <v>155</v>
      </c>
      <c r="B259" s="93"/>
      <c r="C259" s="93"/>
      <c r="D259" s="93"/>
      <c r="E259" s="93"/>
      <c r="F259" s="94"/>
      <c r="G259" s="21"/>
      <c r="H259" s="37"/>
      <c r="I259" s="37"/>
      <c r="J259" s="37"/>
      <c r="K259" s="37"/>
      <c r="L259" s="37"/>
      <c r="M259" s="62"/>
      <c r="N259" s="62"/>
      <c r="O259" s="62"/>
      <c r="P259" s="62"/>
      <c r="Q259" s="62"/>
      <c r="R259" s="64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156</v>
      </c>
      <c r="B260" s="93"/>
      <c r="C260" s="93"/>
      <c r="D260" s="93"/>
      <c r="E260" s="93"/>
      <c r="F260" s="94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157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158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159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160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161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162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163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164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165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166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167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168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169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170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171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172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173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174</v>
      </c>
      <c r="B278" s="93"/>
      <c r="C278" s="93"/>
      <c r="D278" s="93"/>
      <c r="E278" s="93"/>
      <c r="F278" s="94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92" t="s">
        <v>175</v>
      </c>
      <c r="B279" s="93"/>
      <c r="C279" s="93"/>
      <c r="D279" s="93"/>
      <c r="E279" s="93"/>
      <c r="F279" s="94"/>
      <c r="G279" s="68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</row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</sheetData>
  <mergeCells count="76">
    <mergeCell ref="A41:I41"/>
    <mergeCell ref="A1:J1"/>
    <mergeCell ref="A2:J2"/>
    <mergeCell ref="A3:J3"/>
    <mergeCell ref="B4:J4"/>
    <mergeCell ref="A5:J5"/>
    <mergeCell ref="A221:F221"/>
    <mergeCell ref="A93:I93"/>
    <mergeCell ref="A211:F211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20:F220"/>
    <mergeCell ref="A233:F233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32:F232"/>
    <mergeCell ref="A245:F245"/>
    <mergeCell ref="A234:F234"/>
    <mergeCell ref="A235:F235"/>
    <mergeCell ref="A236:F236"/>
    <mergeCell ref="A237:F237"/>
    <mergeCell ref="A238:F238"/>
    <mergeCell ref="A239:F239"/>
    <mergeCell ref="A240:F240"/>
    <mergeCell ref="A241:F241"/>
    <mergeCell ref="A242:F242"/>
    <mergeCell ref="A243:F243"/>
    <mergeCell ref="A244:F244"/>
    <mergeCell ref="A257:F257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F255"/>
    <mergeCell ref="A256:F256"/>
    <mergeCell ref="A269:F269"/>
    <mergeCell ref="A258:F258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68:F268"/>
    <mergeCell ref="A276:F276"/>
    <mergeCell ref="A277:F277"/>
    <mergeCell ref="A278:F278"/>
    <mergeCell ref="A279:F279"/>
    <mergeCell ref="A270:F270"/>
    <mergeCell ref="A271:F271"/>
    <mergeCell ref="A272:F272"/>
    <mergeCell ref="A273:F273"/>
    <mergeCell ref="A274:F274"/>
    <mergeCell ref="A275:F275"/>
  </mergeCells>
  <dataValidations count="4">
    <dataValidation type="list" allowBlank="1" sqref="B7:B26">
      <formula1>"DAS,DAS-1,DAS-2,DAS-3,DAS-4,DAS-5,CAA-1,CAA-2,CAA-3,CAA-4,CAA-5"</formula1>
    </dataValidation>
    <dataValidation type="list" allowBlank="1" sqref="B95:B198">
      <formula1>"FGS-1,FGS-2,FGS-3,FGA-1,FGA-2,FGA-3"</formula1>
    </dataValidation>
    <dataValidation type="list" allowBlank="1" sqref="D95:D198 D7:D26 D43:D84">
      <formula1>"AGP,CLH,CLT,COM,CTD,CTI,DES,DISP,ELE,ESG,EST,EXM,EXQ,EXR,FRQ,REV,VAGO"</formula1>
    </dataValidation>
    <dataValidation type="list" allowBlank="1" sqref="B43:B84">
      <formula1>"FDA,FDA-1,FDA-2,FDA-3,FDA-4"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9"/>
  <sheetViews>
    <sheetView zoomScale="70" zoomScaleNormal="70" workbookViewId="0">
      <selection activeCell="C31" sqref="C31"/>
    </sheetView>
  </sheetViews>
  <sheetFormatPr defaultColWidth="12.625" defaultRowHeight="15" customHeight="1" x14ac:dyDescent="0.2"/>
  <cols>
    <col min="1" max="1" width="69.75" style="82" bestFit="1" customWidth="1"/>
    <col min="2" max="2" width="9.75" style="82" bestFit="1" customWidth="1"/>
    <col min="3" max="3" width="24" style="82" bestFit="1" customWidth="1"/>
    <col min="4" max="4" width="12.25" style="82" bestFit="1" customWidth="1"/>
    <col min="5" max="5" width="9.25" style="82" bestFit="1" customWidth="1"/>
    <col min="6" max="6" width="44.125" style="82" bestFit="1" customWidth="1"/>
    <col min="7" max="7" width="17.5" style="82" bestFit="1" customWidth="1"/>
    <col min="8" max="8" width="17.875" style="82" bestFit="1" customWidth="1"/>
    <col min="9" max="9" width="17.875" style="82" customWidth="1"/>
    <col min="10" max="10" width="15" style="82" customWidth="1"/>
    <col min="11" max="16" width="8" style="82" customWidth="1"/>
    <col min="17" max="17" width="43.875" style="82" customWidth="1"/>
    <col min="18" max="30" width="8" style="82" customWidth="1"/>
    <col min="31" max="16384" width="12.625" style="82"/>
  </cols>
  <sheetData>
    <row r="1" spans="1:30" ht="2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97" t="s">
        <v>220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97" t="s">
        <v>176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508</v>
      </c>
      <c r="B4" s="98" t="s">
        <v>1</v>
      </c>
      <c r="C4" s="93"/>
      <c r="D4" s="93"/>
      <c r="E4" s="93"/>
      <c r="F4" s="93"/>
      <c r="G4" s="93"/>
      <c r="H4" s="93"/>
      <c r="I4" s="93"/>
      <c r="J4" s="94"/>
      <c r="K4" s="6"/>
    </row>
    <row r="5" spans="1:30" x14ac:dyDescent="0.2">
      <c r="A5" s="99" t="s">
        <v>2</v>
      </c>
      <c r="B5" s="93"/>
      <c r="C5" s="93"/>
      <c r="D5" s="93"/>
      <c r="E5" s="93"/>
      <c r="F5" s="93"/>
      <c r="G5" s="93"/>
      <c r="H5" s="93"/>
      <c r="I5" s="93"/>
      <c r="J5" s="94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7" t="s">
        <v>177</v>
      </c>
      <c r="B7" s="57" t="s">
        <v>23</v>
      </c>
      <c r="C7" s="57" t="s">
        <v>178</v>
      </c>
      <c r="D7" s="57" t="s">
        <v>179</v>
      </c>
      <c r="E7" s="46">
        <v>1</v>
      </c>
      <c r="F7" s="47" t="s">
        <v>211</v>
      </c>
      <c r="G7" s="44">
        <v>18000</v>
      </c>
      <c r="H7" s="44">
        <v>0</v>
      </c>
      <c r="I7" s="44">
        <v>0</v>
      </c>
      <c r="J7" s="45">
        <f t="shared" ref="J7:J26" si="0">SUM(G7:I7)</f>
        <v>18000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2" t="s">
        <v>182</v>
      </c>
      <c r="B8" s="57" t="s">
        <v>41</v>
      </c>
      <c r="C8" s="57" t="s">
        <v>178</v>
      </c>
      <c r="D8" s="57" t="s">
        <v>183</v>
      </c>
      <c r="E8" s="46">
        <v>1</v>
      </c>
      <c r="F8" s="47" t="s">
        <v>183</v>
      </c>
      <c r="G8" s="44">
        <v>0</v>
      </c>
      <c r="H8" s="44">
        <v>0</v>
      </c>
      <c r="I8" s="44">
        <v>0</v>
      </c>
      <c r="J8" s="45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7" t="s">
        <v>182</v>
      </c>
      <c r="B9" s="57" t="s">
        <v>41</v>
      </c>
      <c r="C9" s="57" t="s">
        <v>178</v>
      </c>
      <c r="D9" s="57" t="s">
        <v>183</v>
      </c>
      <c r="E9" s="46">
        <v>1</v>
      </c>
      <c r="F9" s="47" t="s">
        <v>183</v>
      </c>
      <c r="G9" s="44">
        <v>0</v>
      </c>
      <c r="H9" s="44">
        <v>0</v>
      </c>
      <c r="I9" s="44">
        <v>0</v>
      </c>
      <c r="J9" s="45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7" t="s">
        <v>182</v>
      </c>
      <c r="B10" s="57" t="s">
        <v>41</v>
      </c>
      <c r="C10" s="57" t="s">
        <v>178</v>
      </c>
      <c r="D10" s="57" t="s">
        <v>183</v>
      </c>
      <c r="E10" s="46">
        <v>1</v>
      </c>
      <c r="F10" s="47" t="s">
        <v>183</v>
      </c>
      <c r="G10" s="44">
        <v>0</v>
      </c>
      <c r="H10" s="44">
        <v>0</v>
      </c>
      <c r="I10" s="44">
        <v>0</v>
      </c>
      <c r="J10" s="45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7" t="s">
        <v>184</v>
      </c>
      <c r="B11" s="57" t="s">
        <v>43</v>
      </c>
      <c r="C11" s="57" t="s">
        <v>178</v>
      </c>
      <c r="D11" s="57" t="s">
        <v>183</v>
      </c>
      <c r="E11" s="46">
        <v>1</v>
      </c>
      <c r="F11" s="47" t="s">
        <v>183</v>
      </c>
      <c r="G11" s="44">
        <v>0</v>
      </c>
      <c r="H11" s="44">
        <v>0</v>
      </c>
      <c r="I11" s="44">
        <v>0</v>
      </c>
      <c r="J11" s="45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7" t="s">
        <v>185</v>
      </c>
      <c r="B12" s="57" t="s">
        <v>33</v>
      </c>
      <c r="C12" s="57" t="s">
        <v>178</v>
      </c>
      <c r="D12" s="73" t="s">
        <v>199</v>
      </c>
      <c r="E12" s="46">
        <v>1</v>
      </c>
      <c r="F12" s="47" t="s">
        <v>436</v>
      </c>
      <c r="G12" s="44">
        <v>0</v>
      </c>
      <c r="H12" s="44">
        <v>809.06</v>
      </c>
      <c r="I12" s="44">
        <v>4316.21</v>
      </c>
      <c r="J12" s="45">
        <f t="shared" si="0"/>
        <v>5125.2700000000004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7" t="s">
        <v>186</v>
      </c>
      <c r="B13" s="57" t="s">
        <v>39</v>
      </c>
      <c r="C13" s="57" t="s">
        <v>178</v>
      </c>
      <c r="D13" s="57" t="s">
        <v>183</v>
      </c>
      <c r="E13" s="46">
        <v>1</v>
      </c>
      <c r="F13" s="47" t="s">
        <v>183</v>
      </c>
      <c r="G13" s="44">
        <v>0</v>
      </c>
      <c r="H13" s="44">
        <v>0</v>
      </c>
      <c r="I13" s="44">
        <v>0</v>
      </c>
      <c r="J13" s="45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7" t="s">
        <v>187</v>
      </c>
      <c r="B14" s="57" t="s">
        <v>37</v>
      </c>
      <c r="C14" s="57" t="s">
        <v>178</v>
      </c>
      <c r="D14" s="57" t="s">
        <v>188</v>
      </c>
      <c r="E14" s="46">
        <v>1</v>
      </c>
      <c r="F14" s="47" t="s">
        <v>213</v>
      </c>
      <c r="G14" s="44">
        <v>0</v>
      </c>
      <c r="H14" s="44">
        <v>0</v>
      </c>
      <c r="I14" s="44">
        <v>3083.01</v>
      </c>
      <c r="J14" s="45">
        <f t="shared" si="0"/>
        <v>3083.01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7" t="s">
        <v>189</v>
      </c>
      <c r="B15" s="57" t="s">
        <v>39</v>
      </c>
      <c r="C15" s="57" t="s">
        <v>190</v>
      </c>
      <c r="D15" s="57" t="s">
        <v>183</v>
      </c>
      <c r="E15" s="46">
        <v>1</v>
      </c>
      <c r="F15" s="47" t="s">
        <v>183</v>
      </c>
      <c r="G15" s="44">
        <v>0</v>
      </c>
      <c r="H15" s="44">
        <v>0</v>
      </c>
      <c r="I15" s="44">
        <v>0</v>
      </c>
      <c r="J15" s="45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7" t="s">
        <v>191</v>
      </c>
      <c r="B16" s="57" t="s">
        <v>25</v>
      </c>
      <c r="C16" s="57" t="s">
        <v>192</v>
      </c>
      <c r="D16" s="57" t="s">
        <v>181</v>
      </c>
      <c r="E16" s="46">
        <v>1</v>
      </c>
      <c r="F16" s="47" t="s">
        <v>214</v>
      </c>
      <c r="G16" s="44">
        <v>0</v>
      </c>
      <c r="H16" s="44">
        <v>0</v>
      </c>
      <c r="I16" s="44">
        <v>10400</v>
      </c>
      <c r="J16" s="45">
        <f t="shared" si="0"/>
        <v>10400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72" t="s">
        <v>499</v>
      </c>
      <c r="B17" s="57" t="s">
        <v>25</v>
      </c>
      <c r="C17" s="73" t="s">
        <v>178</v>
      </c>
      <c r="D17" s="73" t="s">
        <v>199</v>
      </c>
      <c r="E17" s="46">
        <v>1</v>
      </c>
      <c r="F17" s="72" t="s">
        <v>500</v>
      </c>
      <c r="G17" s="44">
        <v>0</v>
      </c>
      <c r="H17" s="44">
        <v>15956.74</v>
      </c>
      <c r="I17" s="44">
        <v>10053.33</v>
      </c>
      <c r="J17" s="45">
        <f t="shared" si="0"/>
        <v>26010.07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47" t="s">
        <v>193</v>
      </c>
      <c r="B18" s="57" t="s">
        <v>33</v>
      </c>
      <c r="C18" s="57" t="s">
        <v>194</v>
      </c>
      <c r="D18" s="57" t="s">
        <v>181</v>
      </c>
      <c r="E18" s="46">
        <v>1</v>
      </c>
      <c r="F18" s="47" t="s">
        <v>215</v>
      </c>
      <c r="G18" s="44">
        <v>0</v>
      </c>
      <c r="H18" s="44">
        <v>0</v>
      </c>
      <c r="I18" s="44">
        <v>4316.21</v>
      </c>
      <c r="J18" s="45">
        <f t="shared" si="0"/>
        <v>4316.21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47" t="s">
        <v>195</v>
      </c>
      <c r="B19" s="57" t="s">
        <v>33</v>
      </c>
      <c r="C19" s="57" t="s">
        <v>196</v>
      </c>
      <c r="D19" s="57" t="s">
        <v>188</v>
      </c>
      <c r="E19" s="46">
        <v>1</v>
      </c>
      <c r="F19" s="84" t="s">
        <v>486</v>
      </c>
      <c r="G19" s="44">
        <v>0</v>
      </c>
      <c r="H19" s="44">
        <v>0</v>
      </c>
      <c r="I19" s="44">
        <v>4316.21</v>
      </c>
      <c r="J19" s="45">
        <f t="shared" si="0"/>
        <v>4316.21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47" t="s">
        <v>197</v>
      </c>
      <c r="B20" s="57" t="s">
        <v>33</v>
      </c>
      <c r="C20" s="73" t="s">
        <v>488</v>
      </c>
      <c r="D20" s="57" t="s">
        <v>199</v>
      </c>
      <c r="E20" s="46">
        <v>1</v>
      </c>
      <c r="F20" s="47" t="s">
        <v>216</v>
      </c>
      <c r="G20" s="44">
        <v>0</v>
      </c>
      <c r="H20" s="44">
        <v>1109.1600000000001</v>
      </c>
      <c r="I20" s="44">
        <v>4316.21</v>
      </c>
      <c r="J20" s="45">
        <f t="shared" si="0"/>
        <v>5425.37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47" t="s">
        <v>200</v>
      </c>
      <c r="B21" s="57" t="s">
        <v>37</v>
      </c>
      <c r="C21" s="57" t="s">
        <v>201</v>
      </c>
      <c r="D21" s="57" t="s">
        <v>181</v>
      </c>
      <c r="E21" s="46">
        <v>1</v>
      </c>
      <c r="F21" s="72" t="s">
        <v>497</v>
      </c>
      <c r="G21" s="44">
        <v>0</v>
      </c>
      <c r="H21" s="44">
        <v>0</v>
      </c>
      <c r="I21" s="44">
        <v>3083.01</v>
      </c>
      <c r="J21" s="45">
        <f t="shared" si="0"/>
        <v>3083.01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47" t="s">
        <v>202</v>
      </c>
      <c r="B22" s="57" t="s">
        <v>33</v>
      </c>
      <c r="C22" s="57" t="s">
        <v>203</v>
      </c>
      <c r="D22" s="57" t="s">
        <v>181</v>
      </c>
      <c r="E22" s="46">
        <v>1</v>
      </c>
      <c r="F22" s="47" t="s">
        <v>498</v>
      </c>
      <c r="G22" s="44">
        <v>0</v>
      </c>
      <c r="H22" s="44">
        <v>0</v>
      </c>
      <c r="I22" s="44">
        <v>4316.21</v>
      </c>
      <c r="J22" s="45">
        <f t="shared" si="0"/>
        <v>4316.21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47" t="s">
        <v>204</v>
      </c>
      <c r="B23" s="57" t="s">
        <v>37</v>
      </c>
      <c r="C23" s="57" t="s">
        <v>205</v>
      </c>
      <c r="D23" s="73" t="s">
        <v>183</v>
      </c>
      <c r="E23" s="46">
        <v>1</v>
      </c>
      <c r="F23" s="72" t="s">
        <v>183</v>
      </c>
      <c r="G23" s="44">
        <v>0</v>
      </c>
      <c r="H23" s="44">
        <v>0</v>
      </c>
      <c r="I23" s="44">
        <v>0</v>
      </c>
      <c r="J23" s="45">
        <f t="shared" si="0"/>
        <v>0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47" t="s">
        <v>206</v>
      </c>
      <c r="B24" s="57" t="s">
        <v>37</v>
      </c>
      <c r="C24" s="57" t="s">
        <v>207</v>
      </c>
      <c r="D24" s="57" t="s">
        <v>183</v>
      </c>
      <c r="E24" s="46">
        <v>1</v>
      </c>
      <c r="F24" s="47" t="s">
        <v>183</v>
      </c>
      <c r="G24" s="44">
        <v>0</v>
      </c>
      <c r="H24" s="44">
        <v>0</v>
      </c>
      <c r="I24" s="44">
        <v>0</v>
      </c>
      <c r="J24" s="45">
        <f t="shared" si="0"/>
        <v>0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47" t="s">
        <v>187</v>
      </c>
      <c r="B25" s="57" t="s">
        <v>37</v>
      </c>
      <c r="C25" s="57" t="s">
        <v>208</v>
      </c>
      <c r="D25" s="57" t="s">
        <v>199</v>
      </c>
      <c r="E25" s="46">
        <v>1</v>
      </c>
      <c r="F25" s="47" t="s">
        <v>218</v>
      </c>
      <c r="G25" s="44">
        <v>0</v>
      </c>
      <c r="H25" s="44">
        <v>24932.44</v>
      </c>
      <c r="I25" s="44">
        <v>3083.01</v>
      </c>
      <c r="J25" s="45">
        <f t="shared" si="0"/>
        <v>28015.449999999997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47" t="s">
        <v>209</v>
      </c>
      <c r="B26" s="57" t="s">
        <v>31</v>
      </c>
      <c r="C26" s="57" t="s">
        <v>210</v>
      </c>
      <c r="D26" s="57" t="s">
        <v>188</v>
      </c>
      <c r="E26" s="46">
        <v>1</v>
      </c>
      <c r="F26" s="72" t="s">
        <v>501</v>
      </c>
      <c r="G26" s="44">
        <v>0</v>
      </c>
      <c r="H26" s="44">
        <v>1266.5999999999999</v>
      </c>
      <c r="I26" s="44">
        <v>5066.41</v>
      </c>
      <c r="J26" s="45">
        <f t="shared" si="0"/>
        <v>6333.01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3" t="s">
        <v>13</v>
      </c>
      <c r="B27" s="63" t="s">
        <v>14</v>
      </c>
      <c r="C27" s="35" t="s">
        <v>15</v>
      </c>
      <c r="D27" s="35" t="s">
        <v>16</v>
      </c>
      <c r="E27" s="35" t="s">
        <v>17</v>
      </c>
      <c r="F27" s="25"/>
      <c r="G27" s="35" t="s">
        <v>18</v>
      </c>
      <c r="H27" s="35" t="s">
        <v>19</v>
      </c>
      <c r="I27" s="35" t="s">
        <v>20</v>
      </c>
      <c r="J27" s="35" t="s">
        <v>21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58" t="s">
        <v>22</v>
      </c>
      <c r="B28" s="46" t="s">
        <v>23</v>
      </c>
      <c r="C28" s="28">
        <f>SUMIFS($E$7:$E$26,$B$7:$B$26,"DAS",$D$7:$D$26,"&lt;&gt;VAGO")</f>
        <v>1</v>
      </c>
      <c r="D28" s="28">
        <f>SUMIFS($E$7:$E$26,$B$7:$B$26,"DAS",$D$7:$D$26,"VAGO")</f>
        <v>0</v>
      </c>
      <c r="E28" s="28">
        <f t="shared" ref="E28:E38" si="1">C28+D28</f>
        <v>1</v>
      </c>
      <c r="F28" s="29"/>
      <c r="G28" s="30">
        <f>SUMIF($B$7:$B$26,"DAS",$G$7:$G$26)</f>
        <v>18000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18000</v>
      </c>
      <c r="K28" s="37"/>
      <c r="L28" s="37"/>
      <c r="M28" s="37"/>
      <c r="N28" s="37"/>
      <c r="O28" s="37"/>
      <c r="P28" s="37"/>
      <c r="Q28" s="37"/>
    </row>
    <row r="29" spans="1:30" x14ac:dyDescent="0.2">
      <c r="A29" s="58" t="s">
        <v>24</v>
      </c>
      <c r="B29" s="46" t="s">
        <v>25</v>
      </c>
      <c r="C29" s="28">
        <f>SUMIFS($E$7:$E$26,$B$7:$B$26,"DAS-1",$D$7:$D$26,"&lt;&gt;VAGO")</f>
        <v>2</v>
      </c>
      <c r="D29" s="28">
        <f>SUMIFS($E$7:$E$26,$B$7:$B$26,"DAS-1",$D$7:$D$26,"VAGO")</f>
        <v>0</v>
      </c>
      <c r="E29" s="28">
        <f t="shared" si="1"/>
        <v>2</v>
      </c>
      <c r="F29" s="32"/>
      <c r="G29" s="30">
        <f>SUMIF($B$7:$B$26,"DAS-1",$G$7:$G$26)</f>
        <v>0</v>
      </c>
      <c r="H29" s="30">
        <f>SUMIF($B$7:$B$26,"DAS-1",$H$7:$H$26)</f>
        <v>15956.74</v>
      </c>
      <c r="I29" s="30">
        <f>SUMIF($B$7:$B$26,"DAS-1",$I$7:$I$26)</f>
        <v>20453.330000000002</v>
      </c>
      <c r="J29" s="30">
        <f>SUMIF($B$7:$B$26,"DAS-1",$J$7:$J$26)</f>
        <v>36410.07</v>
      </c>
      <c r="K29" s="37"/>
      <c r="L29" s="37"/>
      <c r="M29" s="37"/>
      <c r="N29" s="37"/>
      <c r="O29" s="37"/>
      <c r="P29" s="37"/>
      <c r="Q29" s="37"/>
    </row>
    <row r="30" spans="1:30" x14ac:dyDescent="0.2">
      <c r="A30" s="58" t="s">
        <v>26</v>
      </c>
      <c r="B30" s="46" t="s">
        <v>27</v>
      </c>
      <c r="C30" s="28">
        <f>SUMIFS($E$7:$E$26,$B$7:$B$26,"DAS-2",$D$7:$D$26,"&lt;&gt;VAGO")</f>
        <v>0</v>
      </c>
      <c r="D30" s="28">
        <f>SUMIFS($E$7:$E$26,$B$7:$B$26,"DAS-2",$D$7:$D$26,"VAGO")</f>
        <v>0</v>
      </c>
      <c r="E30" s="28">
        <f t="shared" si="1"/>
        <v>0</v>
      </c>
      <c r="F30" s="32"/>
      <c r="G30" s="30">
        <f>SUMIF($B$7:$B$26,"DAS-2",$G$7:$G$26)</f>
        <v>0</v>
      </c>
      <c r="H30" s="30">
        <f>SUMIF($B$7:$B$26,"DAS-2",$H$7:$H$26)</f>
        <v>0</v>
      </c>
      <c r="I30" s="30">
        <f>SUMIF($B$7:$B$26,"DAS-2",$I$7:$I$26)</f>
        <v>0</v>
      </c>
      <c r="J30" s="30">
        <f>SUMIF($B$7:$B$26,"DAS-2",$J$7:$J$26)</f>
        <v>0</v>
      </c>
      <c r="K30" s="37"/>
      <c r="L30" s="37"/>
      <c r="M30" s="37"/>
      <c r="N30" s="37"/>
      <c r="O30" s="37"/>
      <c r="P30" s="37"/>
      <c r="Q30" s="37"/>
    </row>
    <row r="31" spans="1:30" x14ac:dyDescent="0.2">
      <c r="A31" s="58" t="s">
        <v>28</v>
      </c>
      <c r="B31" s="46" t="s">
        <v>29</v>
      </c>
      <c r="C31" s="28">
        <f>SUMIFS($E$7:$E$26,$B$7:$B$26,"DAS-3",$D$7:$D$26,"&lt;&gt;VAGO")</f>
        <v>0</v>
      </c>
      <c r="D31" s="28">
        <f>SUMIFS($E$7:$E$26,$B$7:$B$26,"DAS-3",$D$7:$D$26,"VAGO")</f>
        <v>0</v>
      </c>
      <c r="E31" s="28">
        <f t="shared" si="1"/>
        <v>0</v>
      </c>
      <c r="F31" s="32"/>
      <c r="G31" s="30">
        <f>SUMIF($B$7:$B$26,"DAS-3",$G$7:$G$26)</f>
        <v>0</v>
      </c>
      <c r="H31" s="30">
        <f>SUMIF($B$7:$B$26,"DAS-3",$H$7:$H$26)</f>
        <v>0</v>
      </c>
      <c r="I31" s="30">
        <f>SUMIF($B$7:$B$26,"DAS-3",$I$7:$I$26)</f>
        <v>0</v>
      </c>
      <c r="J31" s="30">
        <f>SUMIF($B$7:$B$26,"DAS-3",$J$7:$J$26)</f>
        <v>0</v>
      </c>
      <c r="K31" s="37"/>
      <c r="L31" s="37"/>
      <c r="M31" s="37"/>
      <c r="N31" s="37"/>
      <c r="O31" s="37"/>
      <c r="P31" s="37"/>
      <c r="Q31" s="37"/>
    </row>
    <row r="32" spans="1:30" x14ac:dyDescent="0.2">
      <c r="A32" s="60" t="s">
        <v>30</v>
      </c>
      <c r="B32" s="46" t="s">
        <v>31</v>
      </c>
      <c r="C32" s="28">
        <f>SUMIFS($E$7:$E$26,$B$7:$B$26,"DAS-4",$D$7:$D$26,"&lt;&gt;VAGO")</f>
        <v>1</v>
      </c>
      <c r="D32" s="28">
        <f>SUMIFS($E$7:$E$26,$B$7:$B$26,"DAS-4",$D$7:$D$26,"VAGO")</f>
        <v>0</v>
      </c>
      <c r="E32" s="28">
        <f t="shared" si="1"/>
        <v>1</v>
      </c>
      <c r="F32" s="34"/>
      <c r="G32" s="30">
        <f>SUMIF($B$7:$B$26,"DAS-4",$G$7:$G$26)</f>
        <v>0</v>
      </c>
      <c r="H32" s="30">
        <f>SUMIF($B$7:$B$26,"DAS-4",$H$7:$H$26)</f>
        <v>1266.5999999999999</v>
      </c>
      <c r="I32" s="30">
        <f>SUMIF($B$7:$B$26,"DAS-4",$I$7:$I$26)</f>
        <v>5066.41</v>
      </c>
      <c r="J32" s="30">
        <f>SUMIF($B$7:$B$26,"DAS-4",$J$7:$J$26)</f>
        <v>6333.01</v>
      </c>
      <c r="K32" s="37"/>
      <c r="L32" s="37"/>
      <c r="M32" s="37"/>
      <c r="N32" s="37"/>
      <c r="O32" s="37"/>
      <c r="P32" s="37"/>
      <c r="Q32" s="37"/>
    </row>
    <row r="33" spans="1:30" x14ac:dyDescent="0.2">
      <c r="A33" s="60" t="s">
        <v>32</v>
      </c>
      <c r="B33" s="46" t="s">
        <v>33</v>
      </c>
      <c r="C33" s="28">
        <f>SUMIFS($E$7:$E$26,$B$7:$B$26,"DAS-5",$D$7:$D$26,"&lt;&gt;VAGO")</f>
        <v>5</v>
      </c>
      <c r="D33" s="28">
        <f>SUMIFS($E$7:$E$26,$B$7:$B$26,"DAS-5",$D$7:$D$26,"VAGO")</f>
        <v>0</v>
      </c>
      <c r="E33" s="28">
        <f t="shared" si="1"/>
        <v>5</v>
      </c>
      <c r="F33" s="34"/>
      <c r="G33" s="30">
        <f>SUMIF($B$7:$B$26,"DAS-5",$G$7:$G$26)</f>
        <v>0</v>
      </c>
      <c r="H33" s="30">
        <f>SUMIF($B$7:$B$26,"DAS-5",$H$7:$H$26)</f>
        <v>1918.22</v>
      </c>
      <c r="I33" s="30">
        <f>SUMIF($B$7:$B$26,"DAS-5",$I$7:$I$26)</f>
        <v>21581.05</v>
      </c>
      <c r="J33" s="30">
        <f>SUMIF($B$7:$B$26,"DAS-5",$J$7:$J$26)</f>
        <v>23499.269999999997</v>
      </c>
      <c r="K33" s="37"/>
      <c r="L33" s="37"/>
      <c r="M33" s="37"/>
      <c r="N33" s="37"/>
      <c r="O33" s="37"/>
      <c r="P33" s="37"/>
      <c r="Q33" s="37"/>
    </row>
    <row r="34" spans="1:30" x14ac:dyDescent="0.2">
      <c r="A34" s="60" t="s">
        <v>34</v>
      </c>
      <c r="B34" s="46" t="s">
        <v>35</v>
      </c>
      <c r="C34" s="28">
        <f>SUMIFS($E$7:$E$26,$B$7:$B$26,"CAA-1",$D$7:$D$26,"&lt;&gt;VAGO")</f>
        <v>0</v>
      </c>
      <c r="D34" s="28">
        <f>SUMIFS($E$7:$E$26,$B$7:$B$26,"CAA-1",$D$7:$D$26,"VAGO")</f>
        <v>0</v>
      </c>
      <c r="E34" s="28">
        <f t="shared" si="1"/>
        <v>0</v>
      </c>
      <c r="F34" s="34"/>
      <c r="G34" s="30">
        <f>SUMIF($B$7:$B$26,"CAA-1",$G$7:$G$26)</f>
        <v>0</v>
      </c>
      <c r="H34" s="30">
        <f>SUMIF($B$7:$B$26,"CAA-1",$H$7:$H$26)</f>
        <v>0</v>
      </c>
      <c r="I34" s="30">
        <f>SUMIF($B$7:$B$26,"CAA-1",$I$7:$I$26)</f>
        <v>0</v>
      </c>
      <c r="J34" s="30">
        <f>SUMIF($B$7:$B$26,"CAA-1",$J$7:$J$26)</f>
        <v>0</v>
      </c>
      <c r="K34" s="37"/>
      <c r="L34" s="37"/>
      <c r="M34" s="37"/>
      <c r="N34" s="37"/>
      <c r="O34" s="37"/>
      <c r="P34" s="37"/>
      <c r="Q34" s="37"/>
    </row>
    <row r="35" spans="1:30" x14ac:dyDescent="0.2">
      <c r="A35" s="60" t="s">
        <v>36</v>
      </c>
      <c r="B35" s="46" t="s">
        <v>37</v>
      </c>
      <c r="C35" s="28">
        <f>SUMIFS($E$7:$E$26,$B$7:$B$26,"CAA-2",$D$7:$D$26,"&lt;&gt;VAGO")</f>
        <v>3</v>
      </c>
      <c r="D35" s="28">
        <f>SUMIFS($E$7:$E$26,$B$7:$B$26,"CAA-2",$D$7:$D$26,"VAGO")</f>
        <v>2</v>
      </c>
      <c r="E35" s="28">
        <f t="shared" si="1"/>
        <v>5</v>
      </c>
      <c r="F35" s="34"/>
      <c r="G35" s="30">
        <f>SUMIF($B$7:$B$26,"CAA-2",$G$7:$G$26)</f>
        <v>0</v>
      </c>
      <c r="H35" s="30">
        <f>SUMIF($B$7:$B$26,"CAA-2",$H$7:$H$26)</f>
        <v>24932.44</v>
      </c>
      <c r="I35" s="30">
        <f>SUMIF($B$7:$B$26,"CAA-2",$I$7:$I$26)</f>
        <v>9249.0300000000007</v>
      </c>
      <c r="J35" s="30">
        <f>SUMIF($B$7:$B$26,"CAA-2",$J$7:$J$26)</f>
        <v>34181.47</v>
      </c>
      <c r="K35" s="37"/>
      <c r="L35" s="37"/>
      <c r="M35" s="37"/>
      <c r="N35" s="37"/>
      <c r="O35" s="37"/>
      <c r="P35" s="37"/>
      <c r="Q35" s="37"/>
    </row>
    <row r="36" spans="1:30" x14ac:dyDescent="0.2">
      <c r="A36" s="60" t="s">
        <v>38</v>
      </c>
      <c r="B36" s="46" t="s">
        <v>39</v>
      </c>
      <c r="C36" s="28">
        <f>SUMIFS($E$7:$E$26,$B$7:$B$26,"CAA-3",$D$7:$D$26,"&lt;&gt;VAGO")</f>
        <v>0</v>
      </c>
      <c r="D36" s="28">
        <f>SUMIFS($E$7:$E$26,$B$7:$B$26,"CAA-3",$D$7:$D$26,"VAGO")</f>
        <v>2</v>
      </c>
      <c r="E36" s="28">
        <f t="shared" si="1"/>
        <v>2</v>
      </c>
      <c r="F36" s="32"/>
      <c r="G36" s="30">
        <f>SUMIF($B$7:$B$26,"CAA-3",$G$7:$G$26)</f>
        <v>0</v>
      </c>
      <c r="H36" s="30">
        <f>SUMIF($B$7:$B$26,"CAA-3",$H$7:$H$26)</f>
        <v>0</v>
      </c>
      <c r="I36" s="30">
        <f>SUMIF($B$7:$B$26,"CAA-3",$I$7:$I$26)</f>
        <v>0</v>
      </c>
      <c r="J36" s="30">
        <f>SUMIF($B$7:$B$26,"CAA-3",$J$7:$J$26)</f>
        <v>0</v>
      </c>
      <c r="K36" s="37"/>
      <c r="L36" s="37"/>
      <c r="M36" s="37"/>
      <c r="N36" s="37"/>
      <c r="O36" s="37"/>
      <c r="P36" s="37"/>
      <c r="Q36" s="37"/>
    </row>
    <row r="37" spans="1:30" x14ac:dyDescent="0.2">
      <c r="A37" s="60" t="s">
        <v>40</v>
      </c>
      <c r="B37" s="46" t="s">
        <v>41</v>
      </c>
      <c r="C37" s="28">
        <f>SUMIFS($E$7:$E$26,$B$7:$B$26,"CAA-4",$D$7:$D$26,"&lt;&gt;VAGO")</f>
        <v>0</v>
      </c>
      <c r="D37" s="28">
        <f>SUMIFS($E$7:$E$26,$B$7:$B$26,"CAA-4",$D$7:$D$26,"VAGO")</f>
        <v>3</v>
      </c>
      <c r="E37" s="28">
        <f t="shared" si="1"/>
        <v>3</v>
      </c>
      <c r="F37" s="32"/>
      <c r="G37" s="30">
        <f>SUMIF($B$7:$B$26,"CAA-4",$G$7:$G$26)</f>
        <v>0</v>
      </c>
      <c r="H37" s="30">
        <f>SUMIF($B$7:$B$26,"CAA-4",$H$7:$H$26)</f>
        <v>0</v>
      </c>
      <c r="I37" s="30">
        <f>SUMIF($B$7:$B$26,"CAA-4",$I$7:$I$26)</f>
        <v>0</v>
      </c>
      <c r="J37" s="30">
        <f>SUMIF($B$7:$B$26,"CAA-4",$J$7:$J$26)</f>
        <v>0</v>
      </c>
      <c r="K37" s="37"/>
      <c r="L37" s="37"/>
      <c r="M37" s="37"/>
      <c r="N37" s="37"/>
      <c r="O37" s="37"/>
      <c r="P37" s="37"/>
      <c r="Q37" s="37"/>
    </row>
    <row r="38" spans="1:30" x14ac:dyDescent="0.2">
      <c r="A38" s="60" t="s">
        <v>42</v>
      </c>
      <c r="B38" s="46" t="s">
        <v>43</v>
      </c>
      <c r="C38" s="28">
        <f>SUMIFS($E$7:$E$26,$B$7:$B$26,"CAA-5",$D$7:$D$26,"&lt;&gt;VAGO")</f>
        <v>0</v>
      </c>
      <c r="D38" s="28">
        <f>SUMIFS($E$7:$E$26,$B$7:$B$26,"CAA-5",$D$7:$D$26,"VAGO")</f>
        <v>1</v>
      </c>
      <c r="E38" s="28">
        <f t="shared" si="1"/>
        <v>1</v>
      </c>
      <c r="F38" s="32"/>
      <c r="G38" s="30">
        <f>SUMIF($B$7:$B$26,"CAA-5",$G$7:$G$26)</f>
        <v>0</v>
      </c>
      <c r="H38" s="30">
        <f>SUMIF($B$7:$B$26,"CAA-5",$H$7:$H$26)</f>
        <v>0</v>
      </c>
      <c r="I38" s="30">
        <f>SUMIF($B$7:$B$26,"CAA-5",$I$7:$I$26)</f>
        <v>0</v>
      </c>
      <c r="J38" s="30">
        <f>SUMIF($B$7:$B$26,"CAA-5",$J$7:$J$26)</f>
        <v>0</v>
      </c>
      <c r="K38" s="37"/>
      <c r="L38" s="37"/>
      <c r="M38" s="37"/>
      <c r="N38" s="37"/>
      <c r="O38" s="37"/>
      <c r="P38" s="37"/>
      <c r="Q38" s="37"/>
    </row>
    <row r="39" spans="1:30" x14ac:dyDescent="0.2">
      <c r="A39" s="63" t="s">
        <v>44</v>
      </c>
      <c r="B39" s="25"/>
      <c r="C39" s="35">
        <f>SUM(C28:C38)</f>
        <v>12</v>
      </c>
      <c r="D39" s="35">
        <f>SUM(D28:D38)</f>
        <v>8</v>
      </c>
      <c r="E39" s="35">
        <f>SUM(E28:E38)</f>
        <v>20</v>
      </c>
      <c r="F39" s="25"/>
      <c r="G39" s="36">
        <f t="shared" ref="G39:J39" si="2">SUM(G28:G38)</f>
        <v>18000</v>
      </c>
      <c r="H39" s="36">
        <f t="shared" si="2"/>
        <v>44074</v>
      </c>
      <c r="I39" s="36">
        <f t="shared" si="2"/>
        <v>56349.82</v>
      </c>
      <c r="J39" s="36">
        <f t="shared" si="2"/>
        <v>118423.82</v>
      </c>
      <c r="K39" s="37"/>
      <c r="L39" s="37"/>
      <c r="M39" s="37"/>
      <c r="N39" s="37"/>
      <c r="O39" s="37"/>
      <c r="P39" s="37"/>
      <c r="Q39" s="37"/>
    </row>
    <row r="40" spans="1:30" ht="45.75" customHeight="1" x14ac:dyDescent="0.2">
      <c r="A40" s="37"/>
      <c r="B40" s="37"/>
      <c r="C40" s="37"/>
      <c r="D40" s="37"/>
      <c r="E40" s="37"/>
      <c r="F40" s="37"/>
      <c r="G40" s="37"/>
      <c r="H40" s="21"/>
      <c r="I40" s="21"/>
      <c r="J40" s="38"/>
      <c r="K40" s="37"/>
      <c r="L40" s="37"/>
      <c r="M40" s="37"/>
      <c r="N40" s="37"/>
      <c r="O40" s="37"/>
      <c r="P40" s="37"/>
      <c r="Q40" s="37"/>
    </row>
    <row r="41" spans="1:30" x14ac:dyDescent="0.2">
      <c r="A41" s="99" t="s">
        <v>45</v>
      </c>
      <c r="B41" s="93"/>
      <c r="C41" s="93"/>
      <c r="D41" s="93"/>
      <c r="E41" s="93"/>
      <c r="F41" s="93"/>
      <c r="G41" s="93"/>
      <c r="H41" s="93"/>
      <c r="I41" s="94"/>
      <c r="J41" s="37"/>
      <c r="K41" s="7"/>
      <c r="L41" s="37"/>
      <c r="M41" s="37"/>
      <c r="N41" s="37"/>
      <c r="O41" s="37"/>
      <c r="P41" s="37"/>
      <c r="Q41" s="37"/>
    </row>
    <row r="42" spans="1:30" ht="30" x14ac:dyDescent="0.2">
      <c r="A42" s="10" t="s">
        <v>46</v>
      </c>
      <c r="B42" s="10" t="s">
        <v>47</v>
      </c>
      <c r="C42" s="10" t="s">
        <v>48</v>
      </c>
      <c r="D42" s="10" t="s">
        <v>49</v>
      </c>
      <c r="E42" s="10" t="s">
        <v>50</v>
      </c>
      <c r="F42" s="10" t="s">
        <v>51</v>
      </c>
      <c r="G42" s="10" t="s">
        <v>52</v>
      </c>
      <c r="H42" s="10" t="s">
        <v>53</v>
      </c>
      <c r="I42" s="10" t="s">
        <v>54</v>
      </c>
      <c r="J42" s="62"/>
      <c r="K42" s="7"/>
      <c r="L42" s="62"/>
      <c r="M42" s="62"/>
      <c r="N42" s="62"/>
      <c r="O42" s="62"/>
      <c r="P42" s="62"/>
      <c r="Q42" s="62"/>
      <c r="R42" s="40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47" t="s">
        <v>221</v>
      </c>
      <c r="B43" s="42" t="s">
        <v>68</v>
      </c>
      <c r="C43" s="57" t="s">
        <v>178</v>
      </c>
      <c r="D43" s="57" t="s">
        <v>181</v>
      </c>
      <c r="E43" s="46">
        <v>1</v>
      </c>
      <c r="F43" s="43" t="s">
        <v>300</v>
      </c>
      <c r="G43" s="44">
        <v>0</v>
      </c>
      <c r="H43" s="44">
        <v>5241.1099999999997</v>
      </c>
      <c r="I43" s="45">
        <f t="shared" ref="I43:I84" si="3">SUM(G43:H43)</f>
        <v>5241.1099999999997</v>
      </c>
      <c r="J43" s="37"/>
      <c r="K43" s="21"/>
      <c r="L43" s="21"/>
      <c r="M43" s="21"/>
      <c r="N43" s="21"/>
      <c r="O43" s="21"/>
      <c r="P43" s="21"/>
      <c r="Q43" s="21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47" t="s">
        <v>180</v>
      </c>
      <c r="B44" s="42" t="s">
        <v>66</v>
      </c>
      <c r="C44" s="57" t="s">
        <v>178</v>
      </c>
      <c r="D44" s="57" t="s">
        <v>181</v>
      </c>
      <c r="E44" s="46">
        <v>1</v>
      </c>
      <c r="F44" s="72" t="s">
        <v>306</v>
      </c>
      <c r="G44" s="44">
        <v>0</v>
      </c>
      <c r="H44" s="44">
        <v>5688.14</v>
      </c>
      <c r="I44" s="45">
        <f t="shared" si="3"/>
        <v>5688.14</v>
      </c>
      <c r="J44" s="37"/>
      <c r="K44" s="21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72" t="s">
        <v>222</v>
      </c>
      <c r="B45" s="42" t="s">
        <v>68</v>
      </c>
      <c r="C45" s="57" t="s">
        <v>223</v>
      </c>
      <c r="D45" s="57" t="s">
        <v>199</v>
      </c>
      <c r="E45" s="46">
        <v>1</v>
      </c>
      <c r="F45" s="43" t="s">
        <v>301</v>
      </c>
      <c r="G45" s="44">
        <v>16704.73</v>
      </c>
      <c r="H45" s="44">
        <v>5241.1099999999997</v>
      </c>
      <c r="I45" s="45">
        <f t="shared" si="3"/>
        <v>21945.84</v>
      </c>
      <c r="J45" s="37"/>
      <c r="K45" s="21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47" t="s">
        <v>224</v>
      </c>
      <c r="B46" s="42" t="s">
        <v>72</v>
      </c>
      <c r="C46" s="57" t="s">
        <v>225</v>
      </c>
      <c r="D46" s="57" t="s">
        <v>181</v>
      </c>
      <c r="E46" s="46">
        <v>1</v>
      </c>
      <c r="F46" s="47" t="s">
        <v>302</v>
      </c>
      <c r="G46" s="44">
        <v>0</v>
      </c>
      <c r="H46" s="44">
        <v>3083.01</v>
      </c>
      <c r="I46" s="45">
        <f t="shared" si="3"/>
        <v>3083.01</v>
      </c>
      <c r="J46" s="37"/>
      <c r="K46" s="21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47" t="s">
        <v>226</v>
      </c>
      <c r="B47" s="42" t="s">
        <v>66</v>
      </c>
      <c r="C47" s="57" t="s">
        <v>227</v>
      </c>
      <c r="D47" s="57" t="s">
        <v>181</v>
      </c>
      <c r="E47" s="46">
        <v>1</v>
      </c>
      <c r="F47" s="47" t="s">
        <v>303</v>
      </c>
      <c r="G47" s="44">
        <v>0</v>
      </c>
      <c r="H47" s="44">
        <v>5703.56</v>
      </c>
      <c r="I47" s="45">
        <f t="shared" si="3"/>
        <v>5703.56</v>
      </c>
      <c r="J47" s="37"/>
      <c r="K47" s="21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47" t="s">
        <v>228</v>
      </c>
      <c r="B48" s="42" t="s">
        <v>72</v>
      </c>
      <c r="C48" s="57" t="s">
        <v>229</v>
      </c>
      <c r="D48" s="57" t="s">
        <v>181</v>
      </c>
      <c r="E48" s="46">
        <v>1</v>
      </c>
      <c r="F48" s="47" t="s">
        <v>304</v>
      </c>
      <c r="G48" s="44">
        <v>0</v>
      </c>
      <c r="H48" s="44">
        <v>3083.01</v>
      </c>
      <c r="I48" s="45">
        <f t="shared" si="3"/>
        <v>3083.01</v>
      </c>
      <c r="J48" s="37"/>
      <c r="K48" s="21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47" t="s">
        <v>230</v>
      </c>
      <c r="B49" s="42" t="s">
        <v>68</v>
      </c>
      <c r="C49" s="57" t="s">
        <v>231</v>
      </c>
      <c r="D49" s="57" t="s">
        <v>199</v>
      </c>
      <c r="E49" s="46">
        <v>1</v>
      </c>
      <c r="F49" s="47" t="s">
        <v>305</v>
      </c>
      <c r="G49" s="44">
        <v>16704.73</v>
      </c>
      <c r="H49" s="44">
        <v>5241.1099999999997</v>
      </c>
      <c r="I49" s="45">
        <f t="shared" si="3"/>
        <v>21945.84</v>
      </c>
      <c r="J49" s="37"/>
      <c r="K49" s="21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47" t="s">
        <v>232</v>
      </c>
      <c r="B50" s="42" t="s">
        <v>68</v>
      </c>
      <c r="C50" s="57" t="s">
        <v>233</v>
      </c>
      <c r="D50" s="57" t="s">
        <v>199</v>
      </c>
      <c r="E50" s="46">
        <v>1</v>
      </c>
      <c r="F50" s="72" t="s">
        <v>494</v>
      </c>
      <c r="G50" s="44">
        <v>1509.2</v>
      </c>
      <c r="H50" s="44">
        <v>5241.1099999999997</v>
      </c>
      <c r="I50" s="45">
        <f t="shared" si="3"/>
        <v>6750.3099999999995</v>
      </c>
      <c r="J50" s="37"/>
      <c r="K50" s="21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47" t="s">
        <v>234</v>
      </c>
      <c r="B51" s="42" t="s">
        <v>68</v>
      </c>
      <c r="C51" s="57" t="s">
        <v>223</v>
      </c>
      <c r="D51" s="57" t="s">
        <v>199</v>
      </c>
      <c r="E51" s="46">
        <v>1</v>
      </c>
      <c r="F51" s="47" t="s">
        <v>504</v>
      </c>
      <c r="G51" s="44">
        <v>809.06</v>
      </c>
      <c r="H51" s="44">
        <v>5241.1099999999997</v>
      </c>
      <c r="I51" s="45">
        <f t="shared" si="3"/>
        <v>6050.17</v>
      </c>
      <c r="J51" s="37"/>
      <c r="K51" s="21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47" t="s">
        <v>235</v>
      </c>
      <c r="B52" s="42" t="s">
        <v>66</v>
      </c>
      <c r="C52" s="57" t="s">
        <v>236</v>
      </c>
      <c r="D52" s="57" t="s">
        <v>181</v>
      </c>
      <c r="E52" s="46">
        <v>1</v>
      </c>
      <c r="F52" s="47" t="s">
        <v>308</v>
      </c>
      <c r="G52" s="44">
        <v>0</v>
      </c>
      <c r="H52" s="44">
        <v>5703.56</v>
      </c>
      <c r="I52" s="45">
        <f t="shared" si="3"/>
        <v>5703.56</v>
      </c>
      <c r="J52" s="37"/>
      <c r="K52" s="21"/>
      <c r="L52" s="21"/>
      <c r="M52" s="21"/>
      <c r="N52" s="21"/>
      <c r="O52" s="21"/>
      <c r="P52" s="21"/>
      <c r="Q52" s="2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47" t="s">
        <v>237</v>
      </c>
      <c r="B53" s="42" t="s">
        <v>72</v>
      </c>
      <c r="C53" s="57" t="s">
        <v>238</v>
      </c>
      <c r="D53" s="57" t="s">
        <v>181</v>
      </c>
      <c r="E53" s="46">
        <v>1</v>
      </c>
      <c r="F53" s="47" t="s">
        <v>309</v>
      </c>
      <c r="G53" s="44">
        <v>0</v>
      </c>
      <c r="H53" s="44">
        <v>3083.01</v>
      </c>
      <c r="I53" s="45">
        <f t="shared" si="3"/>
        <v>3083.01</v>
      </c>
      <c r="J53" s="37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7" t="s">
        <v>239</v>
      </c>
      <c r="B54" s="42" t="s">
        <v>72</v>
      </c>
      <c r="C54" s="57" t="s">
        <v>240</v>
      </c>
      <c r="D54" s="57" t="s">
        <v>181</v>
      </c>
      <c r="E54" s="46">
        <v>1</v>
      </c>
      <c r="F54" s="47" t="s">
        <v>310</v>
      </c>
      <c r="G54" s="44">
        <v>0</v>
      </c>
      <c r="H54" s="44">
        <v>3083.01</v>
      </c>
      <c r="I54" s="45">
        <f t="shared" si="3"/>
        <v>3083.01</v>
      </c>
      <c r="J54" s="37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7" t="s">
        <v>241</v>
      </c>
      <c r="B55" s="42" t="s">
        <v>72</v>
      </c>
      <c r="C55" s="57" t="s">
        <v>242</v>
      </c>
      <c r="D55" s="57" t="s">
        <v>181</v>
      </c>
      <c r="E55" s="46">
        <v>1</v>
      </c>
      <c r="F55" s="47" t="s">
        <v>311</v>
      </c>
      <c r="G55" s="44">
        <v>0</v>
      </c>
      <c r="H55" s="44">
        <v>3083.01</v>
      </c>
      <c r="I55" s="45">
        <f t="shared" si="3"/>
        <v>3083.01</v>
      </c>
      <c r="J55" s="37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7" t="s">
        <v>243</v>
      </c>
      <c r="B56" s="42" t="s">
        <v>72</v>
      </c>
      <c r="C56" s="57" t="s">
        <v>244</v>
      </c>
      <c r="D56" s="57" t="s">
        <v>181</v>
      </c>
      <c r="E56" s="46">
        <v>1</v>
      </c>
      <c r="F56" s="47" t="s">
        <v>312</v>
      </c>
      <c r="G56" s="44">
        <v>0</v>
      </c>
      <c r="H56" s="44">
        <v>3083.01</v>
      </c>
      <c r="I56" s="45">
        <f t="shared" si="3"/>
        <v>3083.01</v>
      </c>
      <c r="J56" s="37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7" t="s">
        <v>245</v>
      </c>
      <c r="B57" s="42" t="s">
        <v>72</v>
      </c>
      <c r="C57" s="57" t="s">
        <v>246</v>
      </c>
      <c r="D57" s="57" t="s">
        <v>181</v>
      </c>
      <c r="E57" s="46">
        <v>1</v>
      </c>
      <c r="F57" s="47" t="s">
        <v>313</v>
      </c>
      <c r="G57" s="44">
        <v>0</v>
      </c>
      <c r="H57" s="44">
        <v>3083.01</v>
      </c>
      <c r="I57" s="45">
        <f t="shared" si="3"/>
        <v>3083.01</v>
      </c>
      <c r="J57" s="37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7" t="s">
        <v>247</v>
      </c>
      <c r="B58" s="42" t="s">
        <v>66</v>
      </c>
      <c r="C58" s="57" t="s">
        <v>248</v>
      </c>
      <c r="D58" s="57" t="s">
        <v>181</v>
      </c>
      <c r="E58" s="46">
        <v>1</v>
      </c>
      <c r="F58" s="76" t="s">
        <v>317</v>
      </c>
      <c r="G58" s="44">
        <v>0</v>
      </c>
      <c r="H58" s="44">
        <v>5703.56</v>
      </c>
      <c r="I58" s="45">
        <f t="shared" si="3"/>
        <v>5703.56</v>
      </c>
      <c r="J58" s="37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7" t="s">
        <v>249</v>
      </c>
      <c r="B59" s="42" t="s">
        <v>72</v>
      </c>
      <c r="C59" s="57" t="s">
        <v>250</v>
      </c>
      <c r="D59" s="57" t="s">
        <v>181</v>
      </c>
      <c r="E59" s="46">
        <v>1</v>
      </c>
      <c r="F59" s="47" t="s">
        <v>315</v>
      </c>
      <c r="G59" s="44">
        <v>0</v>
      </c>
      <c r="H59" s="44">
        <v>3083.01</v>
      </c>
      <c r="I59" s="45">
        <f t="shared" si="3"/>
        <v>3083.01</v>
      </c>
      <c r="J59" s="37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7" t="s">
        <v>251</v>
      </c>
      <c r="B60" s="42" t="s">
        <v>72</v>
      </c>
      <c r="C60" s="57" t="s">
        <v>252</v>
      </c>
      <c r="D60" s="57" t="s">
        <v>199</v>
      </c>
      <c r="E60" s="46">
        <v>1</v>
      </c>
      <c r="F60" s="47" t="s">
        <v>316</v>
      </c>
      <c r="G60" s="44">
        <v>831.26</v>
      </c>
      <c r="H60" s="44">
        <v>3083.01</v>
      </c>
      <c r="I60" s="45">
        <f t="shared" si="3"/>
        <v>3914.2700000000004</v>
      </c>
      <c r="J60" s="37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7" t="s">
        <v>253</v>
      </c>
      <c r="B61" s="42" t="s">
        <v>70</v>
      </c>
      <c r="C61" s="57" t="s">
        <v>254</v>
      </c>
      <c r="D61" s="73" t="s">
        <v>183</v>
      </c>
      <c r="E61" s="46">
        <v>1</v>
      </c>
      <c r="F61" s="72" t="s">
        <v>183</v>
      </c>
      <c r="G61" s="44">
        <v>0</v>
      </c>
      <c r="H61" s="44">
        <v>0</v>
      </c>
      <c r="I61" s="45">
        <f t="shared" si="3"/>
        <v>0</v>
      </c>
      <c r="J61" s="37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7" t="s">
        <v>255</v>
      </c>
      <c r="B62" s="42" t="s">
        <v>72</v>
      </c>
      <c r="C62" s="57" t="s">
        <v>256</v>
      </c>
      <c r="D62" s="57" t="s">
        <v>181</v>
      </c>
      <c r="E62" s="46">
        <v>1</v>
      </c>
      <c r="F62" s="47" t="s">
        <v>318</v>
      </c>
      <c r="G62" s="44">
        <v>0</v>
      </c>
      <c r="H62" s="44">
        <v>3083.01</v>
      </c>
      <c r="I62" s="45">
        <f t="shared" si="3"/>
        <v>3083.01</v>
      </c>
      <c r="J62" s="37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7" t="s">
        <v>257</v>
      </c>
      <c r="B63" s="42" t="s">
        <v>72</v>
      </c>
      <c r="C63" s="57" t="s">
        <v>258</v>
      </c>
      <c r="D63" s="57" t="s">
        <v>181</v>
      </c>
      <c r="E63" s="46">
        <v>1</v>
      </c>
      <c r="F63" s="47" t="s">
        <v>319</v>
      </c>
      <c r="G63" s="44">
        <v>0</v>
      </c>
      <c r="H63" s="44">
        <v>3083.01</v>
      </c>
      <c r="I63" s="45">
        <f t="shared" si="3"/>
        <v>3083.01</v>
      </c>
      <c r="J63" s="37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">
      <c r="A64" s="47" t="s">
        <v>259</v>
      </c>
      <c r="B64" s="42" t="s">
        <v>66</v>
      </c>
      <c r="C64" s="57" t="s">
        <v>260</v>
      </c>
      <c r="D64" s="57" t="s">
        <v>181</v>
      </c>
      <c r="E64" s="46">
        <v>1</v>
      </c>
      <c r="F64" s="47" t="s">
        <v>320</v>
      </c>
      <c r="G64" s="44">
        <v>0</v>
      </c>
      <c r="H64" s="44">
        <v>5703.56</v>
      </c>
      <c r="I64" s="45">
        <f t="shared" si="3"/>
        <v>5703.56</v>
      </c>
      <c r="J64" s="37"/>
      <c r="K64" s="21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47" t="s">
        <v>261</v>
      </c>
      <c r="B65" s="42" t="s">
        <v>72</v>
      </c>
      <c r="C65" s="57" t="s">
        <v>262</v>
      </c>
      <c r="D65" s="57" t="s">
        <v>181</v>
      </c>
      <c r="E65" s="46">
        <v>1</v>
      </c>
      <c r="F65" s="47" t="s">
        <v>321</v>
      </c>
      <c r="G65" s="44">
        <v>0</v>
      </c>
      <c r="H65" s="44">
        <v>3083.01</v>
      </c>
      <c r="I65" s="45">
        <f t="shared" si="3"/>
        <v>3083.01</v>
      </c>
      <c r="J65" s="37"/>
      <c r="K65" s="21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47" t="s">
        <v>263</v>
      </c>
      <c r="B66" s="42" t="s">
        <v>72</v>
      </c>
      <c r="C66" s="57" t="s">
        <v>264</v>
      </c>
      <c r="D66" s="57" t="s">
        <v>181</v>
      </c>
      <c r="E66" s="46">
        <v>1</v>
      </c>
      <c r="F66" s="47" t="s">
        <v>322</v>
      </c>
      <c r="G66" s="44">
        <v>0</v>
      </c>
      <c r="H66" s="44">
        <v>3083.01</v>
      </c>
      <c r="I66" s="45">
        <f t="shared" si="3"/>
        <v>3083.01</v>
      </c>
      <c r="J66" s="37"/>
      <c r="K66" s="21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47" t="s">
        <v>265</v>
      </c>
      <c r="B67" s="42" t="s">
        <v>72</v>
      </c>
      <c r="C67" s="57" t="s">
        <v>266</v>
      </c>
      <c r="D67" s="57" t="s">
        <v>181</v>
      </c>
      <c r="E67" s="46">
        <v>1</v>
      </c>
      <c r="F67" s="47" t="s">
        <v>323</v>
      </c>
      <c r="G67" s="44">
        <v>0</v>
      </c>
      <c r="H67" s="44">
        <v>3083.01</v>
      </c>
      <c r="I67" s="45">
        <f t="shared" si="3"/>
        <v>3083.01</v>
      </c>
      <c r="J67" s="37"/>
      <c r="K67" s="21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47" t="s">
        <v>267</v>
      </c>
      <c r="B68" s="42" t="s">
        <v>72</v>
      </c>
      <c r="C68" s="57" t="s">
        <v>268</v>
      </c>
      <c r="D68" s="57" t="s">
        <v>181</v>
      </c>
      <c r="E68" s="46">
        <v>1</v>
      </c>
      <c r="F68" s="47" t="s">
        <v>324</v>
      </c>
      <c r="G68" s="44">
        <v>0</v>
      </c>
      <c r="H68" s="44">
        <v>3083.01</v>
      </c>
      <c r="I68" s="45">
        <f t="shared" si="3"/>
        <v>3083.01</v>
      </c>
      <c r="J68" s="37"/>
      <c r="K68" s="21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47" t="s">
        <v>269</v>
      </c>
      <c r="B69" s="42" t="s">
        <v>72</v>
      </c>
      <c r="C69" s="57" t="s">
        <v>270</v>
      </c>
      <c r="D69" s="57" t="s">
        <v>181</v>
      </c>
      <c r="E69" s="46">
        <v>1</v>
      </c>
      <c r="F69" s="47" t="s">
        <v>325</v>
      </c>
      <c r="G69" s="44">
        <v>0</v>
      </c>
      <c r="H69" s="44">
        <v>3083.01</v>
      </c>
      <c r="I69" s="45">
        <f t="shared" si="3"/>
        <v>3083.01</v>
      </c>
      <c r="J69" s="37"/>
      <c r="K69" s="21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">
      <c r="A70" s="47" t="s">
        <v>271</v>
      </c>
      <c r="B70" s="42" t="s">
        <v>72</v>
      </c>
      <c r="C70" s="57" t="s">
        <v>272</v>
      </c>
      <c r="D70" s="57" t="s">
        <v>181</v>
      </c>
      <c r="E70" s="46">
        <v>1</v>
      </c>
      <c r="F70" s="47" t="s">
        <v>326</v>
      </c>
      <c r="G70" s="44">
        <v>0</v>
      </c>
      <c r="H70" s="44">
        <v>3083.01</v>
      </c>
      <c r="I70" s="45">
        <f t="shared" si="3"/>
        <v>3083.01</v>
      </c>
      <c r="J70" s="37"/>
      <c r="K70" s="21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47" t="s">
        <v>273</v>
      </c>
      <c r="B71" s="42" t="s">
        <v>72</v>
      </c>
      <c r="C71" s="57" t="s">
        <v>274</v>
      </c>
      <c r="D71" s="57" t="s">
        <v>181</v>
      </c>
      <c r="E71" s="46">
        <v>1</v>
      </c>
      <c r="F71" s="47" t="s">
        <v>327</v>
      </c>
      <c r="G71" s="44">
        <v>0</v>
      </c>
      <c r="H71" s="44">
        <v>3083.01</v>
      </c>
      <c r="I71" s="45">
        <f t="shared" si="3"/>
        <v>3083.01</v>
      </c>
      <c r="J71" s="37"/>
      <c r="K71" s="21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47" t="s">
        <v>275</v>
      </c>
      <c r="B72" s="42" t="s">
        <v>72</v>
      </c>
      <c r="C72" s="57" t="s">
        <v>260</v>
      </c>
      <c r="D72" s="57" t="s">
        <v>181</v>
      </c>
      <c r="E72" s="46">
        <v>1</v>
      </c>
      <c r="F72" s="47" t="s">
        <v>328</v>
      </c>
      <c r="G72" s="44">
        <v>0</v>
      </c>
      <c r="H72" s="44">
        <v>3083.01</v>
      </c>
      <c r="I72" s="45">
        <f t="shared" si="3"/>
        <v>3083.01</v>
      </c>
      <c r="J72" s="37"/>
      <c r="K72" s="21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47" t="s">
        <v>276</v>
      </c>
      <c r="B73" s="42" t="s">
        <v>72</v>
      </c>
      <c r="C73" s="57" t="s">
        <v>277</v>
      </c>
      <c r="D73" s="57" t="s">
        <v>181</v>
      </c>
      <c r="E73" s="46">
        <v>1</v>
      </c>
      <c r="F73" s="47" t="s">
        <v>329</v>
      </c>
      <c r="G73" s="44">
        <v>0</v>
      </c>
      <c r="H73" s="44">
        <v>3083.01</v>
      </c>
      <c r="I73" s="45">
        <f t="shared" si="3"/>
        <v>3083.01</v>
      </c>
      <c r="J73" s="37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47" t="s">
        <v>278</v>
      </c>
      <c r="B74" s="42" t="s">
        <v>72</v>
      </c>
      <c r="C74" s="57" t="s">
        <v>279</v>
      </c>
      <c r="D74" s="57" t="s">
        <v>181</v>
      </c>
      <c r="E74" s="46">
        <v>1</v>
      </c>
      <c r="F74" s="47" t="s">
        <v>330</v>
      </c>
      <c r="G74" s="44">
        <v>0</v>
      </c>
      <c r="H74" s="44">
        <v>3083.01</v>
      </c>
      <c r="I74" s="45">
        <f t="shared" si="3"/>
        <v>3083.01</v>
      </c>
      <c r="J74" s="37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47" t="s">
        <v>280</v>
      </c>
      <c r="B75" s="42" t="s">
        <v>66</v>
      </c>
      <c r="C75" s="57" t="s">
        <v>281</v>
      </c>
      <c r="D75" s="57" t="s">
        <v>181</v>
      </c>
      <c r="E75" s="46">
        <v>1</v>
      </c>
      <c r="F75" s="47" t="s">
        <v>331</v>
      </c>
      <c r="G75" s="44">
        <v>0</v>
      </c>
      <c r="H75" s="44">
        <v>5703.56</v>
      </c>
      <c r="I75" s="45">
        <f t="shared" si="3"/>
        <v>5703.56</v>
      </c>
      <c r="J75" s="37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47" t="s">
        <v>282</v>
      </c>
      <c r="B76" s="42" t="s">
        <v>72</v>
      </c>
      <c r="C76" s="57" t="s">
        <v>283</v>
      </c>
      <c r="D76" s="57" t="s">
        <v>181</v>
      </c>
      <c r="E76" s="46">
        <v>1</v>
      </c>
      <c r="F76" s="47" t="s">
        <v>332</v>
      </c>
      <c r="G76" s="44">
        <v>0</v>
      </c>
      <c r="H76" s="44">
        <v>3083.01</v>
      </c>
      <c r="I76" s="45">
        <f t="shared" si="3"/>
        <v>3083.01</v>
      </c>
      <c r="J76" s="37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47" t="s">
        <v>284</v>
      </c>
      <c r="B77" s="42" t="s">
        <v>72</v>
      </c>
      <c r="C77" s="57" t="s">
        <v>285</v>
      </c>
      <c r="D77" s="57" t="s">
        <v>181</v>
      </c>
      <c r="E77" s="46">
        <v>1</v>
      </c>
      <c r="F77" s="47" t="s">
        <v>333</v>
      </c>
      <c r="G77" s="44">
        <v>0</v>
      </c>
      <c r="H77" s="44">
        <v>3083.01</v>
      </c>
      <c r="I77" s="45">
        <f t="shared" si="3"/>
        <v>3083.01</v>
      </c>
      <c r="J77" s="37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47" t="s">
        <v>286</v>
      </c>
      <c r="B78" s="42" t="s">
        <v>72</v>
      </c>
      <c r="C78" s="57" t="s">
        <v>287</v>
      </c>
      <c r="D78" s="57" t="s">
        <v>181</v>
      </c>
      <c r="E78" s="46">
        <v>1</v>
      </c>
      <c r="F78" s="47" t="s">
        <v>334</v>
      </c>
      <c r="G78" s="44">
        <v>0</v>
      </c>
      <c r="H78" s="44">
        <v>3083.01</v>
      </c>
      <c r="I78" s="45">
        <f t="shared" si="3"/>
        <v>3083.01</v>
      </c>
      <c r="J78" s="37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47" t="s">
        <v>288</v>
      </c>
      <c r="B79" s="42" t="s">
        <v>70</v>
      </c>
      <c r="C79" s="57" t="s">
        <v>289</v>
      </c>
      <c r="D79" s="57" t="s">
        <v>181</v>
      </c>
      <c r="E79" s="46">
        <v>1</v>
      </c>
      <c r="F79" s="47" t="s">
        <v>335</v>
      </c>
      <c r="G79" s="44">
        <v>0</v>
      </c>
      <c r="H79" s="44">
        <v>4316.21</v>
      </c>
      <c r="I79" s="45">
        <f t="shared" si="3"/>
        <v>4316.21</v>
      </c>
      <c r="J79" s="37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47" t="s">
        <v>290</v>
      </c>
      <c r="B80" s="42" t="s">
        <v>66</v>
      </c>
      <c r="C80" s="57" t="s">
        <v>291</v>
      </c>
      <c r="D80" s="57" t="s">
        <v>181</v>
      </c>
      <c r="E80" s="46">
        <v>1</v>
      </c>
      <c r="F80" s="47" t="s">
        <v>336</v>
      </c>
      <c r="G80" s="44">
        <v>0</v>
      </c>
      <c r="H80" s="44">
        <v>5703.56</v>
      </c>
      <c r="I80" s="45">
        <f t="shared" si="3"/>
        <v>5703.56</v>
      </c>
      <c r="J80" s="37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47" t="s">
        <v>292</v>
      </c>
      <c r="B81" s="42" t="s">
        <v>72</v>
      </c>
      <c r="C81" s="57" t="s">
        <v>293</v>
      </c>
      <c r="D81" s="57" t="s">
        <v>199</v>
      </c>
      <c r="E81" s="46">
        <v>1</v>
      </c>
      <c r="F81" s="47" t="s">
        <v>337</v>
      </c>
      <c r="G81" s="44">
        <v>1509.2</v>
      </c>
      <c r="H81" s="44">
        <v>3083.01</v>
      </c>
      <c r="I81" s="45">
        <f t="shared" si="3"/>
        <v>4592.21</v>
      </c>
      <c r="J81" s="37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47" t="s">
        <v>294</v>
      </c>
      <c r="B82" s="42" t="s">
        <v>72</v>
      </c>
      <c r="C82" s="57" t="s">
        <v>295</v>
      </c>
      <c r="D82" s="73" t="s">
        <v>199</v>
      </c>
      <c r="E82" s="46">
        <v>1</v>
      </c>
      <c r="F82" s="47" t="s">
        <v>412</v>
      </c>
      <c r="G82" s="44">
        <v>1509.2</v>
      </c>
      <c r="H82" s="44">
        <v>3083.01</v>
      </c>
      <c r="I82" s="45">
        <f t="shared" si="3"/>
        <v>4592.21</v>
      </c>
      <c r="J82" s="37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47" t="s">
        <v>296</v>
      </c>
      <c r="B83" s="42" t="s">
        <v>72</v>
      </c>
      <c r="C83" s="57" t="s">
        <v>297</v>
      </c>
      <c r="D83" s="57" t="s">
        <v>199</v>
      </c>
      <c r="E83" s="46">
        <v>1</v>
      </c>
      <c r="F83" s="47" t="s">
        <v>338</v>
      </c>
      <c r="G83" s="44">
        <v>1509.2</v>
      </c>
      <c r="H83" s="44">
        <v>3083.01</v>
      </c>
      <c r="I83" s="45">
        <f t="shared" si="3"/>
        <v>4592.21</v>
      </c>
      <c r="J83" s="37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x14ac:dyDescent="0.2">
      <c r="A84" s="47" t="s">
        <v>298</v>
      </c>
      <c r="B84" s="42" t="s">
        <v>68</v>
      </c>
      <c r="C84" s="57" t="s">
        <v>299</v>
      </c>
      <c r="D84" s="57" t="s">
        <v>181</v>
      </c>
      <c r="E84" s="46">
        <v>1</v>
      </c>
      <c r="F84" s="47" t="s">
        <v>339</v>
      </c>
      <c r="G84" s="44">
        <v>0</v>
      </c>
      <c r="H84" s="44">
        <v>5241.1099999999997</v>
      </c>
      <c r="I84" s="45">
        <f t="shared" si="3"/>
        <v>5241.1099999999997</v>
      </c>
      <c r="J84" s="37"/>
      <c r="K84" s="21"/>
      <c r="L84" s="21"/>
      <c r="M84" s="21"/>
      <c r="N84" s="21"/>
      <c r="O84" s="21"/>
      <c r="P84" s="21"/>
      <c r="Q84" s="21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45" x14ac:dyDescent="0.2">
      <c r="A85" s="63" t="s">
        <v>55</v>
      </c>
      <c r="B85" s="63" t="s">
        <v>56</v>
      </c>
      <c r="C85" s="35" t="s">
        <v>57</v>
      </c>
      <c r="D85" s="35" t="s">
        <v>58</v>
      </c>
      <c r="E85" s="35" t="s">
        <v>59</v>
      </c>
      <c r="F85" s="48"/>
      <c r="G85" s="35" t="s">
        <v>60</v>
      </c>
      <c r="H85" s="35" t="s">
        <v>61</v>
      </c>
      <c r="I85" s="35" t="s">
        <v>62</v>
      </c>
      <c r="J85" s="37"/>
      <c r="K85" s="7"/>
      <c r="L85" s="7"/>
      <c r="M85" s="7"/>
      <c r="N85" s="7"/>
      <c r="O85" s="7"/>
      <c r="P85" s="7"/>
      <c r="Q85" s="7"/>
      <c r="R85" s="4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x14ac:dyDescent="0.2">
      <c r="A86" s="58" t="s">
        <v>63</v>
      </c>
      <c r="B86" s="59" t="s">
        <v>64</v>
      </c>
      <c r="C86" s="28">
        <f>SUMIFS($E$43:$E$84,$B$43:$B$84,"FDA",$D$43:$D$84,"&lt;&gt;VAGO")</f>
        <v>0</v>
      </c>
      <c r="D86" s="28">
        <f>SUMIFS($E$43:$E$84,$B$43:$B$84,"FDA",$D$43:$D$84,"VAGO")</f>
        <v>0</v>
      </c>
      <c r="E86" s="28">
        <f t="shared" ref="E86:E90" si="4">C86+D86</f>
        <v>0</v>
      </c>
      <c r="F86" s="29"/>
      <c r="G86" s="45">
        <f>SUMIF($B$43:$B$84,"FDA",$G$43:$G$84)</f>
        <v>0</v>
      </c>
      <c r="H86" s="45">
        <f>SUMIF($B$43:$B$84,"FDA",$H$43:$H$84)</f>
        <v>0</v>
      </c>
      <c r="I86" s="45">
        <f>SUMIF($B$43:$B$84,"FDA",$I$43:$I$84)</f>
        <v>0</v>
      </c>
      <c r="J86" s="21"/>
      <c r="K86" s="7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58" t="s">
        <v>65</v>
      </c>
      <c r="B87" s="59" t="s">
        <v>66</v>
      </c>
      <c r="C87" s="28">
        <f>SUMIFS($E$43:$E$84,$B$43:$B$84,"FDA-1",$D$43:$D$84,"&lt;&gt;VAGO")</f>
        <v>7</v>
      </c>
      <c r="D87" s="28">
        <f>SUMIFS($E$43:$E$84,$B$43:$B$84,"FDA-1",$D$43:$D$84,"VAGO")</f>
        <v>0</v>
      </c>
      <c r="E87" s="28">
        <f t="shared" si="4"/>
        <v>7</v>
      </c>
      <c r="F87" s="29"/>
      <c r="G87" s="45">
        <f>SUMIF($B$43:$B$84,"FDA-1",$G$43:$G$84)</f>
        <v>0</v>
      </c>
      <c r="H87" s="45">
        <f>SUMIF($B$43:$B$84,"FDA-1",$H$43:$H$84)</f>
        <v>39909.5</v>
      </c>
      <c r="I87" s="45">
        <f>SUMIF($B$43:$B$84,"FDA-1",$I$43:$I$84)</f>
        <v>39909.5</v>
      </c>
      <c r="J87" s="21"/>
      <c r="K87" s="7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58" t="s">
        <v>67</v>
      </c>
      <c r="B88" s="59" t="s">
        <v>68</v>
      </c>
      <c r="C88" s="28">
        <f>SUMIFS($E$43:$E$84,$B$43:$B$84,"FDA-2",$D$43:$D$84,"&lt;&gt;VAGO")</f>
        <v>6</v>
      </c>
      <c r="D88" s="28">
        <f>SUMIFS($E$43:$E$84,$B$43:$B$84,"FDA-2",$D$43:$D$84,"VAGO")</f>
        <v>0</v>
      </c>
      <c r="E88" s="28">
        <f t="shared" si="4"/>
        <v>6</v>
      </c>
      <c r="F88" s="32"/>
      <c r="G88" s="45">
        <f>SUMIF($B$43:$B$84,"FDA-2",$G$43:$G$84)</f>
        <v>35727.719999999994</v>
      </c>
      <c r="H88" s="45">
        <f>SUMIF($B$43:$B$84,"FDA-2",$H$43:$H$84)</f>
        <v>31446.66</v>
      </c>
      <c r="I88" s="45">
        <f>SUMIF($B$43:$B$84,"FDA-2",$I$43:$I$84)</f>
        <v>67174.37999999999</v>
      </c>
      <c r="J88" s="21"/>
      <c r="K88" s="7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58" t="s">
        <v>69</v>
      </c>
      <c r="B89" s="59" t="s">
        <v>70</v>
      </c>
      <c r="C89" s="28">
        <f>SUMIFS($E$43:$E$84,$B$43:$B$84,"FDA-3",$D$43:$D$84,"&lt;&gt;VAGO")</f>
        <v>1</v>
      </c>
      <c r="D89" s="28">
        <f>SUMIFS($E$43:$E$84,$B$43:$B$84,"FDA-3",$D$43:$D$84,"VAGO")</f>
        <v>1</v>
      </c>
      <c r="E89" s="28">
        <f t="shared" si="4"/>
        <v>2</v>
      </c>
      <c r="F89" s="34"/>
      <c r="G89" s="45">
        <f>SUMIF($B$43:$B$84,"FDA-3",$G$43:$G$84)</f>
        <v>0</v>
      </c>
      <c r="H89" s="45">
        <f>SUMIF($B$43:$B$84,"FDA-3",$H$43:$H$84)</f>
        <v>4316.21</v>
      </c>
      <c r="I89" s="45">
        <f>SUMIF($B$43:$B$84,"FDA-3",$I$43:$I$84)</f>
        <v>4316.21</v>
      </c>
      <c r="J89" s="21"/>
      <c r="K89" s="7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x14ac:dyDescent="0.2">
      <c r="A90" s="58" t="s">
        <v>71</v>
      </c>
      <c r="B90" s="59" t="s">
        <v>72</v>
      </c>
      <c r="C90" s="28">
        <f>SUMIFS($E$43:$E$84,$B$43:$B$84,"FDA-4",$D$43:$D$84,"&lt;&gt;VAGO")</f>
        <v>27</v>
      </c>
      <c r="D90" s="28">
        <f>SUMIFS($E$43:$E$84,$B$43:$B$84,"FDA-4",$D$43:$D$84,"VAGO")</f>
        <v>0</v>
      </c>
      <c r="E90" s="28">
        <f t="shared" si="4"/>
        <v>27</v>
      </c>
      <c r="F90" s="32"/>
      <c r="G90" s="45">
        <f>SUMIF($B$43:$B$84,"FDA-4",$G$43:$G$84)</f>
        <v>5358.86</v>
      </c>
      <c r="H90" s="45">
        <f>SUMIF($B$43:$B$84,"FDA-4",$H$43:$H$84)</f>
        <v>83241.27</v>
      </c>
      <c r="I90" s="45">
        <f>SUMIF($B$43:$B$84,"FDA-4",$I$43:$I$84)</f>
        <v>88600.130000000019</v>
      </c>
      <c r="J90" s="21"/>
      <c r="K90" s="7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30" x14ac:dyDescent="0.2">
      <c r="A91" s="63" t="s">
        <v>73</v>
      </c>
      <c r="B91" s="48"/>
      <c r="C91" s="35">
        <f t="shared" ref="C91:E91" si="5">SUM(C87:C90)</f>
        <v>41</v>
      </c>
      <c r="D91" s="35">
        <f t="shared" si="5"/>
        <v>1</v>
      </c>
      <c r="E91" s="35">
        <f t="shared" si="5"/>
        <v>42</v>
      </c>
      <c r="F91" s="48"/>
      <c r="G91" s="51">
        <f t="shared" ref="G91:I91" si="6">SUM(G86:G90)</f>
        <v>41086.579999999994</v>
      </c>
      <c r="H91" s="51">
        <f t="shared" si="6"/>
        <v>158913.64000000001</v>
      </c>
      <c r="I91" s="51">
        <f t="shared" si="6"/>
        <v>200000.22000000003</v>
      </c>
      <c r="J91" s="21"/>
      <c r="K91" s="7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45" customHeight="1" x14ac:dyDescent="0.2">
      <c r="A92" s="38"/>
      <c r="B92" s="38"/>
      <c r="C92" s="38"/>
      <c r="D92" s="38"/>
      <c r="E92" s="38"/>
      <c r="F92" s="38"/>
      <c r="G92" s="38"/>
      <c r="H92" s="38"/>
      <c r="I92" s="7"/>
      <c r="J92" s="21"/>
      <c r="K92" s="7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x14ac:dyDescent="0.2">
      <c r="A93" s="99" t="s">
        <v>74</v>
      </c>
      <c r="B93" s="93"/>
      <c r="C93" s="93"/>
      <c r="D93" s="93"/>
      <c r="E93" s="93"/>
      <c r="F93" s="93"/>
      <c r="G93" s="93"/>
      <c r="H93" s="93"/>
      <c r="I93" s="94"/>
      <c r="J93" s="21"/>
      <c r="K93" s="7"/>
      <c r="L93" s="21"/>
      <c r="M93" s="21"/>
      <c r="N93" s="21"/>
      <c r="O93" s="21"/>
      <c r="P93" s="21"/>
      <c r="Q93" s="2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30" x14ac:dyDescent="0.2">
      <c r="A94" s="52" t="s">
        <v>75</v>
      </c>
      <c r="B94" s="10" t="s">
        <v>76</v>
      </c>
      <c r="C94" s="10" t="s">
        <v>77</v>
      </c>
      <c r="D94" s="10" t="s">
        <v>78</v>
      </c>
      <c r="E94" s="10" t="s">
        <v>79</v>
      </c>
      <c r="F94" s="10" t="s">
        <v>80</v>
      </c>
      <c r="G94" s="10" t="s">
        <v>81</v>
      </c>
      <c r="H94" s="10" t="s">
        <v>82</v>
      </c>
      <c r="I94" s="10" t="s">
        <v>83</v>
      </c>
      <c r="J94" s="7"/>
      <c r="K94" s="7"/>
      <c r="L94" s="7"/>
      <c r="M94" s="7"/>
      <c r="N94" s="7"/>
      <c r="O94" s="7"/>
      <c r="P94" s="7"/>
      <c r="Q94" s="7"/>
      <c r="R94" s="40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">
      <c r="A95" s="56" t="s">
        <v>340</v>
      </c>
      <c r="B95" s="55" t="s">
        <v>93</v>
      </c>
      <c r="C95" s="55" t="s">
        <v>178</v>
      </c>
      <c r="D95" s="57" t="s">
        <v>181</v>
      </c>
      <c r="E95" s="46">
        <v>1</v>
      </c>
      <c r="F95" s="56" t="s">
        <v>374</v>
      </c>
      <c r="G95" s="44">
        <v>0</v>
      </c>
      <c r="H95" s="44">
        <v>1392.8</v>
      </c>
      <c r="I95" s="45">
        <f t="shared" ref="I95:I198" si="7">SUM(G95:H95)</f>
        <v>1392.8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47" t="s">
        <v>341</v>
      </c>
      <c r="B96" s="55" t="s">
        <v>342</v>
      </c>
      <c r="C96" s="57" t="s">
        <v>178</v>
      </c>
      <c r="D96" s="57" t="s">
        <v>199</v>
      </c>
      <c r="E96" s="46">
        <v>1</v>
      </c>
      <c r="F96" s="47" t="s">
        <v>375</v>
      </c>
      <c r="G96" s="44">
        <v>831.13</v>
      </c>
      <c r="H96" s="44">
        <v>849.76</v>
      </c>
      <c r="I96" s="45">
        <f t="shared" si="7"/>
        <v>1680.8899999999999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47" t="s">
        <v>343</v>
      </c>
      <c r="B97" s="55" t="s">
        <v>101</v>
      </c>
      <c r="C97" s="57" t="s">
        <v>178</v>
      </c>
      <c r="D97" s="57" t="s">
        <v>199</v>
      </c>
      <c r="E97" s="46">
        <v>1</v>
      </c>
      <c r="F97" s="43" t="s">
        <v>376</v>
      </c>
      <c r="G97" s="44">
        <v>831.26</v>
      </c>
      <c r="H97" s="44">
        <v>465.35</v>
      </c>
      <c r="I97" s="45">
        <f t="shared" si="7"/>
        <v>1296.6100000000001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47" t="s">
        <v>340</v>
      </c>
      <c r="B98" s="55" t="s">
        <v>93</v>
      </c>
      <c r="C98" s="57" t="s">
        <v>223</v>
      </c>
      <c r="D98" s="57" t="s">
        <v>199</v>
      </c>
      <c r="E98" s="46">
        <v>1</v>
      </c>
      <c r="F98" s="43" t="s">
        <v>377</v>
      </c>
      <c r="G98" s="44">
        <v>844.27</v>
      </c>
      <c r="H98" s="44">
        <v>1392.8</v>
      </c>
      <c r="I98" s="45">
        <f t="shared" si="7"/>
        <v>2237.0699999999997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">
      <c r="A99" s="47" t="s">
        <v>344</v>
      </c>
      <c r="B99" s="55" t="s">
        <v>345</v>
      </c>
      <c r="C99" s="57" t="s">
        <v>223</v>
      </c>
      <c r="D99" s="57" t="s">
        <v>199</v>
      </c>
      <c r="E99" s="46">
        <v>1</v>
      </c>
      <c r="F99" s="43" t="s">
        <v>378</v>
      </c>
      <c r="G99" s="44">
        <v>831.26</v>
      </c>
      <c r="H99" s="44">
        <v>505.81</v>
      </c>
      <c r="I99" s="45">
        <f t="shared" si="7"/>
        <v>1337.07</v>
      </c>
      <c r="J99" s="21"/>
      <c r="K99" s="21"/>
      <c r="L99" s="21"/>
      <c r="M99" s="21"/>
      <c r="N99" s="21"/>
      <c r="O99" s="21"/>
      <c r="P99" s="21"/>
      <c r="Q99" s="21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">
      <c r="A100" s="47" t="s">
        <v>340</v>
      </c>
      <c r="B100" s="55" t="s">
        <v>93</v>
      </c>
      <c r="C100" s="57" t="s">
        <v>223</v>
      </c>
      <c r="D100" s="57" t="s">
        <v>181</v>
      </c>
      <c r="E100" s="46">
        <v>1</v>
      </c>
      <c r="F100" s="43" t="s">
        <v>379</v>
      </c>
      <c r="G100" s="44">
        <v>0</v>
      </c>
      <c r="H100" s="44">
        <v>1392.8</v>
      </c>
      <c r="I100" s="45">
        <f t="shared" si="7"/>
        <v>1392.8</v>
      </c>
      <c r="J100" s="21"/>
      <c r="K100" s="21"/>
      <c r="L100" s="21"/>
      <c r="M100" s="21"/>
      <c r="N100" s="21"/>
      <c r="O100" s="21"/>
      <c r="P100" s="21"/>
      <c r="Q100" s="21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">
      <c r="A101" s="47" t="s">
        <v>340</v>
      </c>
      <c r="B101" s="55" t="s">
        <v>93</v>
      </c>
      <c r="C101" s="57" t="s">
        <v>223</v>
      </c>
      <c r="D101" s="57" t="s">
        <v>181</v>
      </c>
      <c r="E101" s="46">
        <v>1</v>
      </c>
      <c r="F101" s="43" t="s">
        <v>380</v>
      </c>
      <c r="G101" s="44">
        <v>0</v>
      </c>
      <c r="H101" s="44">
        <v>1392.8</v>
      </c>
      <c r="I101" s="45">
        <f t="shared" si="7"/>
        <v>1392.8</v>
      </c>
      <c r="J101" s="21"/>
      <c r="K101" s="21"/>
      <c r="L101" s="21"/>
      <c r="M101" s="21"/>
      <c r="N101" s="21"/>
      <c r="O101" s="21"/>
      <c r="P101" s="21"/>
      <c r="Q101" s="21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">
      <c r="A102" s="47" t="s">
        <v>346</v>
      </c>
      <c r="B102" s="55" t="s">
        <v>97</v>
      </c>
      <c r="C102" s="57" t="s">
        <v>347</v>
      </c>
      <c r="D102" s="57" t="s">
        <v>181</v>
      </c>
      <c r="E102" s="46">
        <v>1</v>
      </c>
      <c r="F102" s="43" t="s">
        <v>381</v>
      </c>
      <c r="G102" s="44">
        <v>0</v>
      </c>
      <c r="H102" s="44">
        <v>566.5</v>
      </c>
      <c r="I102" s="45">
        <f t="shared" si="7"/>
        <v>566.5</v>
      </c>
      <c r="J102" s="21"/>
      <c r="K102" s="21"/>
      <c r="L102" s="21"/>
      <c r="M102" s="21"/>
      <c r="N102" s="21"/>
      <c r="O102" s="21"/>
      <c r="P102" s="21"/>
      <c r="Q102" s="21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">
      <c r="A103" s="47" t="s">
        <v>346</v>
      </c>
      <c r="B103" s="55" t="s">
        <v>97</v>
      </c>
      <c r="C103" s="57" t="s">
        <v>347</v>
      </c>
      <c r="D103" s="57" t="s">
        <v>181</v>
      </c>
      <c r="E103" s="46">
        <v>1</v>
      </c>
      <c r="F103" s="43" t="s">
        <v>382</v>
      </c>
      <c r="G103" s="44">
        <v>0</v>
      </c>
      <c r="H103" s="44">
        <v>566.5</v>
      </c>
      <c r="I103" s="45">
        <f t="shared" si="7"/>
        <v>566.5</v>
      </c>
      <c r="J103" s="21"/>
      <c r="K103" s="21"/>
      <c r="L103" s="21"/>
      <c r="M103" s="21"/>
      <c r="N103" s="21"/>
      <c r="O103" s="21"/>
      <c r="P103" s="21"/>
      <c r="Q103" s="21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">
      <c r="A104" s="47" t="s">
        <v>346</v>
      </c>
      <c r="B104" s="55" t="s">
        <v>97</v>
      </c>
      <c r="C104" s="57" t="s">
        <v>348</v>
      </c>
      <c r="D104" s="57" t="s">
        <v>181</v>
      </c>
      <c r="E104" s="46">
        <v>1</v>
      </c>
      <c r="F104" s="43" t="s">
        <v>383</v>
      </c>
      <c r="G104" s="44">
        <v>0</v>
      </c>
      <c r="H104" s="44">
        <v>566.5</v>
      </c>
      <c r="I104" s="45">
        <f t="shared" si="7"/>
        <v>566.5</v>
      </c>
      <c r="J104" s="21"/>
      <c r="K104" s="21"/>
      <c r="L104" s="21"/>
      <c r="M104" s="21"/>
      <c r="N104" s="21"/>
      <c r="O104" s="21"/>
      <c r="P104" s="21"/>
      <c r="Q104" s="21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">
      <c r="A105" s="47" t="s">
        <v>340</v>
      </c>
      <c r="B105" s="55" t="s">
        <v>93</v>
      </c>
      <c r="C105" s="57" t="s">
        <v>347</v>
      </c>
      <c r="D105" s="57" t="s">
        <v>181</v>
      </c>
      <c r="E105" s="46">
        <v>1</v>
      </c>
      <c r="F105" s="43" t="s">
        <v>384</v>
      </c>
      <c r="G105" s="44">
        <v>0</v>
      </c>
      <c r="H105" s="44">
        <v>1392.8</v>
      </c>
      <c r="I105" s="45">
        <f t="shared" si="7"/>
        <v>1392.8</v>
      </c>
      <c r="J105" s="21"/>
      <c r="K105" s="21"/>
      <c r="L105" s="21"/>
      <c r="M105" s="21"/>
      <c r="N105" s="21"/>
      <c r="O105" s="21"/>
      <c r="P105" s="21"/>
      <c r="Q105" s="21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">
      <c r="A106" s="47" t="s">
        <v>340</v>
      </c>
      <c r="B106" s="55" t="s">
        <v>93</v>
      </c>
      <c r="C106" s="57" t="s">
        <v>349</v>
      </c>
      <c r="D106" s="57" t="s">
        <v>181</v>
      </c>
      <c r="E106" s="46">
        <v>1</v>
      </c>
      <c r="F106" s="43" t="s">
        <v>385</v>
      </c>
      <c r="G106" s="44">
        <v>0</v>
      </c>
      <c r="H106" s="44">
        <v>1392.8</v>
      </c>
      <c r="I106" s="45">
        <f t="shared" si="7"/>
        <v>1392.8</v>
      </c>
      <c r="J106" s="21"/>
      <c r="K106" s="21"/>
      <c r="L106" s="21"/>
      <c r="M106" s="21"/>
      <c r="N106" s="21"/>
      <c r="O106" s="21"/>
      <c r="P106" s="21"/>
      <c r="Q106" s="21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">
      <c r="A107" s="47" t="s">
        <v>340</v>
      </c>
      <c r="B107" s="55" t="s">
        <v>93</v>
      </c>
      <c r="C107" s="57" t="s">
        <v>231</v>
      </c>
      <c r="D107" s="57" t="s">
        <v>181</v>
      </c>
      <c r="E107" s="46">
        <v>1</v>
      </c>
      <c r="F107" s="43" t="s">
        <v>386</v>
      </c>
      <c r="G107" s="44">
        <v>0</v>
      </c>
      <c r="H107" s="44">
        <v>1392.8</v>
      </c>
      <c r="I107" s="45">
        <f t="shared" si="7"/>
        <v>1392.8</v>
      </c>
      <c r="J107" s="21"/>
      <c r="K107" s="21"/>
      <c r="L107" s="21"/>
      <c r="M107" s="21"/>
      <c r="N107" s="21"/>
      <c r="O107" s="21"/>
      <c r="P107" s="21"/>
      <c r="Q107" s="21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">
      <c r="A108" s="47" t="s">
        <v>341</v>
      </c>
      <c r="B108" s="55" t="s">
        <v>342</v>
      </c>
      <c r="C108" s="57" t="s">
        <v>350</v>
      </c>
      <c r="D108" s="57" t="s">
        <v>181</v>
      </c>
      <c r="E108" s="46">
        <v>1</v>
      </c>
      <c r="F108" s="43" t="s">
        <v>387</v>
      </c>
      <c r="G108" s="44">
        <v>0</v>
      </c>
      <c r="H108" s="44">
        <v>849.76</v>
      </c>
      <c r="I108" s="45">
        <f t="shared" si="7"/>
        <v>849.76</v>
      </c>
      <c r="J108" s="21"/>
      <c r="K108" s="21"/>
      <c r="L108" s="21"/>
      <c r="M108" s="21"/>
      <c r="N108" s="21"/>
      <c r="O108" s="21"/>
      <c r="P108" s="21"/>
      <c r="Q108" s="21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">
      <c r="A109" s="47" t="s">
        <v>340</v>
      </c>
      <c r="B109" s="55" t="s">
        <v>93</v>
      </c>
      <c r="C109" s="57" t="s">
        <v>351</v>
      </c>
      <c r="D109" s="57" t="s">
        <v>181</v>
      </c>
      <c r="E109" s="46">
        <v>1</v>
      </c>
      <c r="F109" s="43" t="s">
        <v>388</v>
      </c>
      <c r="G109" s="44">
        <v>0</v>
      </c>
      <c r="H109" s="44">
        <v>1392.8</v>
      </c>
      <c r="I109" s="45">
        <f t="shared" si="7"/>
        <v>1392.8</v>
      </c>
      <c r="J109" s="21"/>
      <c r="K109" s="21"/>
      <c r="L109" s="21"/>
      <c r="M109" s="21"/>
      <c r="N109" s="21"/>
      <c r="O109" s="21"/>
      <c r="P109" s="21"/>
      <c r="Q109" s="21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">
      <c r="A110" s="47" t="s">
        <v>346</v>
      </c>
      <c r="B110" s="55" t="s">
        <v>97</v>
      </c>
      <c r="C110" s="57" t="s">
        <v>352</v>
      </c>
      <c r="D110" s="57" t="s">
        <v>199</v>
      </c>
      <c r="E110" s="46">
        <v>1</v>
      </c>
      <c r="F110" s="43" t="s">
        <v>389</v>
      </c>
      <c r="G110" s="44">
        <v>852.4</v>
      </c>
      <c r="H110" s="44">
        <v>566.5</v>
      </c>
      <c r="I110" s="45">
        <f t="shared" si="7"/>
        <v>1418.9</v>
      </c>
      <c r="J110" s="21"/>
      <c r="K110" s="21"/>
      <c r="L110" s="21"/>
      <c r="M110" s="21"/>
      <c r="N110" s="21"/>
      <c r="O110" s="21"/>
      <c r="P110" s="21"/>
      <c r="Q110" s="21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">
      <c r="A111" s="47" t="s">
        <v>340</v>
      </c>
      <c r="B111" s="55" t="s">
        <v>93</v>
      </c>
      <c r="C111" s="57" t="s">
        <v>353</v>
      </c>
      <c r="D111" s="57" t="s">
        <v>199</v>
      </c>
      <c r="E111" s="46">
        <v>1</v>
      </c>
      <c r="F111" s="43" t="s">
        <v>390</v>
      </c>
      <c r="G111" s="44">
        <v>830.46</v>
      </c>
      <c r="H111" s="44">
        <v>1392.8</v>
      </c>
      <c r="I111" s="45">
        <f t="shared" si="7"/>
        <v>2223.2600000000002</v>
      </c>
      <c r="J111" s="21"/>
      <c r="K111" s="21"/>
      <c r="L111" s="21"/>
      <c r="M111" s="21"/>
      <c r="N111" s="21"/>
      <c r="O111" s="21"/>
      <c r="P111" s="21"/>
      <c r="Q111" s="21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">
      <c r="A112" s="47" t="s">
        <v>346</v>
      </c>
      <c r="B112" s="55" t="s">
        <v>97</v>
      </c>
      <c r="C112" s="57" t="s">
        <v>353</v>
      </c>
      <c r="D112" s="57" t="s">
        <v>199</v>
      </c>
      <c r="E112" s="46">
        <v>1</v>
      </c>
      <c r="F112" s="43" t="s">
        <v>391</v>
      </c>
      <c r="G112" s="44">
        <v>844.27</v>
      </c>
      <c r="H112" s="44">
        <v>566.5</v>
      </c>
      <c r="I112" s="45">
        <f t="shared" si="7"/>
        <v>1410.77</v>
      </c>
      <c r="J112" s="21"/>
      <c r="K112" s="21"/>
      <c r="L112" s="21"/>
      <c r="M112" s="21"/>
      <c r="N112" s="21"/>
      <c r="O112" s="21"/>
      <c r="P112" s="21"/>
      <c r="Q112" s="21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">
      <c r="A113" s="47" t="s">
        <v>346</v>
      </c>
      <c r="B113" s="55" t="s">
        <v>97</v>
      </c>
      <c r="C113" s="57" t="s">
        <v>353</v>
      </c>
      <c r="D113" s="57" t="s">
        <v>199</v>
      </c>
      <c r="E113" s="46">
        <v>1</v>
      </c>
      <c r="F113" s="43" t="s">
        <v>392</v>
      </c>
      <c r="G113" s="44">
        <v>844.13</v>
      </c>
      <c r="H113" s="44">
        <v>566.5</v>
      </c>
      <c r="I113" s="45">
        <f t="shared" si="7"/>
        <v>1410.63</v>
      </c>
      <c r="J113" s="21"/>
      <c r="K113" s="21"/>
      <c r="L113" s="21"/>
      <c r="M113" s="21"/>
      <c r="N113" s="21"/>
      <c r="O113" s="21"/>
      <c r="P113" s="21"/>
      <c r="Q113" s="2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">
      <c r="A114" s="47" t="s">
        <v>346</v>
      </c>
      <c r="B114" s="55" t="s">
        <v>97</v>
      </c>
      <c r="C114" s="57" t="s">
        <v>354</v>
      </c>
      <c r="D114" s="57" t="s">
        <v>181</v>
      </c>
      <c r="E114" s="46">
        <v>1</v>
      </c>
      <c r="F114" s="43" t="s">
        <v>393</v>
      </c>
      <c r="G114" s="44">
        <v>0</v>
      </c>
      <c r="H114" s="44">
        <v>566.5</v>
      </c>
      <c r="I114" s="45">
        <f t="shared" si="7"/>
        <v>566.5</v>
      </c>
      <c r="J114" s="21"/>
      <c r="K114" s="21"/>
      <c r="L114" s="21"/>
      <c r="M114" s="21"/>
      <c r="N114" s="21"/>
      <c r="O114" s="21"/>
      <c r="P114" s="21"/>
      <c r="Q114" s="21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">
      <c r="A115" s="47" t="s">
        <v>346</v>
      </c>
      <c r="B115" s="55" t="s">
        <v>97</v>
      </c>
      <c r="C115" s="57" t="s">
        <v>355</v>
      </c>
      <c r="D115" s="57" t="s">
        <v>199</v>
      </c>
      <c r="E115" s="46">
        <v>1</v>
      </c>
      <c r="F115" s="43" t="s">
        <v>477</v>
      </c>
      <c r="G115" s="44">
        <v>845.01</v>
      </c>
      <c r="H115" s="44">
        <v>566.5</v>
      </c>
      <c r="I115" s="45">
        <f t="shared" si="7"/>
        <v>1411.51</v>
      </c>
      <c r="J115" s="21"/>
      <c r="K115" s="21"/>
      <c r="L115" s="21"/>
      <c r="M115" s="21"/>
      <c r="N115" s="21"/>
      <c r="O115" s="21"/>
      <c r="P115" s="21"/>
      <c r="Q115" s="21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">
      <c r="A116" s="47" t="s">
        <v>346</v>
      </c>
      <c r="B116" s="55" t="s">
        <v>97</v>
      </c>
      <c r="C116" s="57" t="s">
        <v>355</v>
      </c>
      <c r="D116" s="57" t="s">
        <v>199</v>
      </c>
      <c r="E116" s="46">
        <v>1</v>
      </c>
      <c r="F116" s="43" t="s">
        <v>394</v>
      </c>
      <c r="G116" s="44">
        <v>837.96</v>
      </c>
      <c r="H116" s="44">
        <v>566.5</v>
      </c>
      <c r="I116" s="45">
        <f t="shared" si="7"/>
        <v>1404.46</v>
      </c>
      <c r="J116" s="21"/>
      <c r="K116" s="21"/>
      <c r="L116" s="21"/>
      <c r="M116" s="21"/>
      <c r="N116" s="21"/>
      <c r="O116" s="21"/>
      <c r="P116" s="21"/>
      <c r="Q116" s="21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">
      <c r="A117" s="47" t="s">
        <v>346</v>
      </c>
      <c r="B117" s="55" t="s">
        <v>97</v>
      </c>
      <c r="C117" s="57" t="s">
        <v>355</v>
      </c>
      <c r="D117" s="57" t="s">
        <v>199</v>
      </c>
      <c r="E117" s="46">
        <v>1</v>
      </c>
      <c r="F117" s="43" t="s">
        <v>395</v>
      </c>
      <c r="G117" s="44">
        <v>837.96</v>
      </c>
      <c r="H117" s="44">
        <v>566.5</v>
      </c>
      <c r="I117" s="45">
        <f t="shared" si="7"/>
        <v>1404.46</v>
      </c>
      <c r="J117" s="21"/>
      <c r="K117" s="21"/>
      <c r="L117" s="21"/>
      <c r="M117" s="21"/>
      <c r="N117" s="21"/>
      <c r="O117" s="21"/>
      <c r="P117" s="21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">
      <c r="A118" s="47" t="s">
        <v>340</v>
      </c>
      <c r="B118" s="55" t="s">
        <v>93</v>
      </c>
      <c r="C118" s="57" t="s">
        <v>356</v>
      </c>
      <c r="D118" s="57" t="s">
        <v>181</v>
      </c>
      <c r="E118" s="46">
        <v>1</v>
      </c>
      <c r="F118" s="43" t="s">
        <v>396</v>
      </c>
      <c r="G118" s="44">
        <v>0</v>
      </c>
      <c r="H118" s="44">
        <v>1392.8</v>
      </c>
      <c r="I118" s="45">
        <f t="shared" si="7"/>
        <v>1392.8</v>
      </c>
      <c r="J118" s="21"/>
      <c r="K118" s="21"/>
      <c r="L118" s="21"/>
      <c r="M118" s="21"/>
      <c r="N118" s="21"/>
      <c r="O118" s="21"/>
      <c r="P118" s="21"/>
      <c r="Q118" s="21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">
      <c r="A119" s="47" t="s">
        <v>346</v>
      </c>
      <c r="B119" s="55" t="s">
        <v>97</v>
      </c>
      <c r="C119" s="57" t="s">
        <v>356</v>
      </c>
      <c r="D119" s="57" t="s">
        <v>199</v>
      </c>
      <c r="E119" s="46">
        <v>1</v>
      </c>
      <c r="F119" s="43" t="s">
        <v>397</v>
      </c>
      <c r="G119" s="44">
        <v>844.87</v>
      </c>
      <c r="H119" s="44">
        <v>566.5</v>
      </c>
      <c r="I119" s="45">
        <f t="shared" si="7"/>
        <v>1411.37</v>
      </c>
      <c r="J119" s="21"/>
      <c r="K119" s="21"/>
      <c r="L119" s="21"/>
      <c r="M119" s="21"/>
      <c r="N119" s="21"/>
      <c r="O119" s="21"/>
      <c r="P119" s="21"/>
      <c r="Q119" s="21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">
      <c r="A120" s="47" t="s">
        <v>344</v>
      </c>
      <c r="B120" s="55" t="s">
        <v>345</v>
      </c>
      <c r="C120" s="57" t="s">
        <v>356</v>
      </c>
      <c r="D120" s="57" t="s">
        <v>199</v>
      </c>
      <c r="E120" s="46">
        <v>1</v>
      </c>
      <c r="F120" s="43" t="s">
        <v>398</v>
      </c>
      <c r="G120" s="44">
        <v>852.4</v>
      </c>
      <c r="H120" s="44">
        <v>505.81</v>
      </c>
      <c r="I120" s="45">
        <f t="shared" si="7"/>
        <v>1358.21</v>
      </c>
      <c r="J120" s="21"/>
      <c r="K120" s="21"/>
      <c r="L120" s="21"/>
      <c r="M120" s="21"/>
      <c r="N120" s="21"/>
      <c r="O120" s="21"/>
      <c r="P120" s="21"/>
      <c r="Q120" s="21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">
      <c r="A121" s="47" t="s">
        <v>340</v>
      </c>
      <c r="B121" s="55" t="s">
        <v>93</v>
      </c>
      <c r="C121" s="57" t="s">
        <v>357</v>
      </c>
      <c r="D121" s="57" t="s">
        <v>181</v>
      </c>
      <c r="E121" s="46">
        <v>1</v>
      </c>
      <c r="F121" s="43" t="s">
        <v>399</v>
      </c>
      <c r="G121" s="44">
        <v>0</v>
      </c>
      <c r="H121" s="44">
        <v>1392.8</v>
      </c>
      <c r="I121" s="45">
        <f t="shared" si="7"/>
        <v>1392.8</v>
      </c>
      <c r="J121" s="21"/>
      <c r="K121" s="21"/>
      <c r="L121" s="21"/>
      <c r="M121" s="21"/>
      <c r="N121" s="21"/>
      <c r="O121" s="21"/>
      <c r="P121" s="21"/>
      <c r="Q121" s="21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">
      <c r="A122" s="47" t="s">
        <v>346</v>
      </c>
      <c r="B122" s="55" t="s">
        <v>97</v>
      </c>
      <c r="C122" s="57" t="s">
        <v>357</v>
      </c>
      <c r="D122" s="57" t="s">
        <v>199</v>
      </c>
      <c r="E122" s="46">
        <v>1</v>
      </c>
      <c r="F122" s="43" t="s">
        <v>400</v>
      </c>
      <c r="G122" s="44">
        <v>16704.73</v>
      </c>
      <c r="H122" s="44">
        <v>566.5</v>
      </c>
      <c r="I122" s="45">
        <f t="shared" si="7"/>
        <v>17271.23</v>
      </c>
      <c r="J122" s="21"/>
      <c r="K122" s="21"/>
      <c r="L122" s="21"/>
      <c r="M122" s="21"/>
      <c r="N122" s="21"/>
      <c r="O122" s="21"/>
      <c r="P122" s="21"/>
      <c r="Q122" s="2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">
      <c r="A123" s="47" t="s">
        <v>346</v>
      </c>
      <c r="B123" s="55" t="s">
        <v>97</v>
      </c>
      <c r="C123" s="57" t="s">
        <v>357</v>
      </c>
      <c r="D123" s="57" t="s">
        <v>199</v>
      </c>
      <c r="E123" s="46">
        <v>1</v>
      </c>
      <c r="F123" s="43" t="s">
        <v>401</v>
      </c>
      <c r="G123" s="44">
        <v>837.96</v>
      </c>
      <c r="H123" s="44">
        <v>566.5</v>
      </c>
      <c r="I123" s="45">
        <f t="shared" si="7"/>
        <v>1404.46</v>
      </c>
      <c r="J123" s="21"/>
      <c r="K123" s="21"/>
      <c r="L123" s="21"/>
      <c r="M123" s="21"/>
      <c r="N123" s="21"/>
      <c r="O123" s="21"/>
      <c r="P123" s="21"/>
      <c r="Q123" s="2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">
      <c r="A124" s="47" t="s">
        <v>346</v>
      </c>
      <c r="B124" s="55" t="s">
        <v>97</v>
      </c>
      <c r="C124" s="57" t="s">
        <v>358</v>
      </c>
      <c r="D124" s="57" t="s">
        <v>199</v>
      </c>
      <c r="E124" s="46">
        <v>1</v>
      </c>
      <c r="F124" s="43" t="s">
        <v>402</v>
      </c>
      <c r="G124" s="44">
        <v>837.96</v>
      </c>
      <c r="H124" s="44">
        <v>566.5</v>
      </c>
      <c r="I124" s="45">
        <f t="shared" si="7"/>
        <v>1404.46</v>
      </c>
      <c r="J124" s="21"/>
      <c r="K124" s="21"/>
      <c r="L124" s="21"/>
      <c r="M124" s="21"/>
      <c r="N124" s="21"/>
      <c r="O124" s="21"/>
      <c r="P124" s="21"/>
      <c r="Q124" s="2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">
      <c r="A125" s="47" t="s">
        <v>346</v>
      </c>
      <c r="B125" s="55" t="s">
        <v>97</v>
      </c>
      <c r="C125" s="57" t="s">
        <v>358</v>
      </c>
      <c r="D125" s="57" t="s">
        <v>181</v>
      </c>
      <c r="E125" s="46">
        <v>1</v>
      </c>
      <c r="F125" s="43" t="s">
        <v>403</v>
      </c>
      <c r="G125" s="44">
        <v>0</v>
      </c>
      <c r="H125" s="44">
        <v>566.5</v>
      </c>
      <c r="I125" s="45">
        <f t="shared" si="7"/>
        <v>566.5</v>
      </c>
      <c r="J125" s="21"/>
      <c r="K125" s="21"/>
      <c r="L125" s="21"/>
      <c r="M125" s="21"/>
      <c r="N125" s="21"/>
      <c r="O125" s="21"/>
      <c r="P125" s="21"/>
      <c r="Q125" s="2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">
      <c r="A126" s="47" t="s">
        <v>340</v>
      </c>
      <c r="B126" s="55" t="s">
        <v>93</v>
      </c>
      <c r="C126" s="57" t="s">
        <v>359</v>
      </c>
      <c r="D126" s="57" t="s">
        <v>199</v>
      </c>
      <c r="E126" s="46">
        <v>1</v>
      </c>
      <c r="F126" s="43" t="s">
        <v>404</v>
      </c>
      <c r="G126" s="44">
        <v>831.26</v>
      </c>
      <c r="H126" s="44">
        <v>1392.8</v>
      </c>
      <c r="I126" s="45">
        <f t="shared" si="7"/>
        <v>2224.06</v>
      </c>
      <c r="J126" s="21"/>
      <c r="K126" s="21"/>
      <c r="L126" s="21"/>
      <c r="M126" s="21"/>
      <c r="N126" s="21"/>
      <c r="O126" s="21"/>
      <c r="P126" s="21"/>
      <c r="Q126" s="2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">
      <c r="A127" s="47" t="s">
        <v>340</v>
      </c>
      <c r="B127" s="55" t="s">
        <v>93</v>
      </c>
      <c r="C127" s="57" t="s">
        <v>359</v>
      </c>
      <c r="D127" s="57" t="s">
        <v>199</v>
      </c>
      <c r="E127" s="46">
        <v>1</v>
      </c>
      <c r="F127" s="43" t="s">
        <v>405</v>
      </c>
      <c r="G127" s="44">
        <v>1006.04</v>
      </c>
      <c r="H127" s="44">
        <v>1392.8</v>
      </c>
      <c r="I127" s="45">
        <f t="shared" si="7"/>
        <v>2398.84</v>
      </c>
      <c r="J127" s="21"/>
      <c r="K127" s="21"/>
      <c r="L127" s="21"/>
      <c r="M127" s="21"/>
      <c r="N127" s="21"/>
      <c r="O127" s="21"/>
      <c r="P127" s="21"/>
      <c r="Q127" s="21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">
      <c r="A128" s="47" t="s">
        <v>340</v>
      </c>
      <c r="B128" s="55" t="s">
        <v>93</v>
      </c>
      <c r="C128" s="57" t="s">
        <v>360</v>
      </c>
      <c r="D128" s="57" t="s">
        <v>199</v>
      </c>
      <c r="E128" s="46">
        <v>1</v>
      </c>
      <c r="F128" s="43" t="s">
        <v>406</v>
      </c>
      <c r="G128" s="44">
        <v>837.96</v>
      </c>
      <c r="H128" s="44">
        <v>1392.8</v>
      </c>
      <c r="I128" s="45">
        <f t="shared" si="7"/>
        <v>2230.7600000000002</v>
      </c>
      <c r="J128" s="21"/>
      <c r="K128" s="21"/>
      <c r="L128" s="21"/>
      <c r="M128" s="21"/>
      <c r="N128" s="21"/>
      <c r="O128" s="21"/>
      <c r="P128" s="21"/>
      <c r="Q128" s="21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">
      <c r="A129" s="47" t="s">
        <v>346</v>
      </c>
      <c r="B129" s="55" t="s">
        <v>97</v>
      </c>
      <c r="C129" s="57" t="s">
        <v>361</v>
      </c>
      <c r="D129" s="57" t="s">
        <v>181</v>
      </c>
      <c r="E129" s="46">
        <v>1</v>
      </c>
      <c r="F129" s="43" t="s">
        <v>407</v>
      </c>
      <c r="G129" s="44">
        <v>0</v>
      </c>
      <c r="H129" s="44">
        <v>566.5</v>
      </c>
      <c r="I129" s="45">
        <f t="shared" si="7"/>
        <v>566.5</v>
      </c>
      <c r="J129" s="21"/>
      <c r="K129" s="21"/>
      <c r="L129" s="21"/>
      <c r="M129" s="21"/>
      <c r="N129" s="21"/>
      <c r="O129" s="21"/>
      <c r="P129" s="21"/>
      <c r="Q129" s="21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">
      <c r="A130" s="47" t="s">
        <v>346</v>
      </c>
      <c r="B130" s="55" t="s">
        <v>97</v>
      </c>
      <c r="C130" s="57" t="s">
        <v>361</v>
      </c>
      <c r="D130" s="57" t="s">
        <v>181</v>
      </c>
      <c r="E130" s="46">
        <v>1</v>
      </c>
      <c r="F130" s="43" t="s">
        <v>408</v>
      </c>
      <c r="G130" s="44">
        <v>0</v>
      </c>
      <c r="H130" s="44">
        <v>566.5</v>
      </c>
      <c r="I130" s="45">
        <f t="shared" si="7"/>
        <v>566.5</v>
      </c>
      <c r="J130" s="21"/>
      <c r="K130" s="21"/>
      <c r="L130" s="21"/>
      <c r="M130" s="21"/>
      <c r="N130" s="21"/>
      <c r="O130" s="21"/>
      <c r="P130" s="21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">
      <c r="A131" s="47" t="s">
        <v>340</v>
      </c>
      <c r="B131" s="55" t="s">
        <v>93</v>
      </c>
      <c r="C131" s="57" t="s">
        <v>362</v>
      </c>
      <c r="D131" s="57" t="s">
        <v>181</v>
      </c>
      <c r="E131" s="46">
        <v>1</v>
      </c>
      <c r="F131" s="43" t="s">
        <v>409</v>
      </c>
      <c r="G131" s="44">
        <v>0</v>
      </c>
      <c r="H131" s="44">
        <v>1392.8</v>
      </c>
      <c r="I131" s="45">
        <f t="shared" si="7"/>
        <v>1392.8</v>
      </c>
      <c r="J131" s="21"/>
      <c r="K131" s="21"/>
      <c r="L131" s="21"/>
      <c r="M131" s="21"/>
      <c r="N131" s="21"/>
      <c r="O131" s="21"/>
      <c r="P131" s="21"/>
      <c r="Q131" s="21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">
      <c r="A132" s="47" t="s">
        <v>340</v>
      </c>
      <c r="B132" s="55" t="s">
        <v>93</v>
      </c>
      <c r="C132" s="57" t="s">
        <v>248</v>
      </c>
      <c r="D132" s="57" t="s">
        <v>181</v>
      </c>
      <c r="E132" s="46">
        <v>1</v>
      </c>
      <c r="F132" s="43" t="s">
        <v>410</v>
      </c>
      <c r="G132" s="44">
        <v>0</v>
      </c>
      <c r="H132" s="44">
        <v>1392.8</v>
      </c>
      <c r="I132" s="45">
        <f t="shared" si="7"/>
        <v>1392.8</v>
      </c>
      <c r="J132" s="21"/>
      <c r="K132" s="21"/>
      <c r="L132" s="21"/>
      <c r="M132" s="21"/>
      <c r="N132" s="21"/>
      <c r="O132" s="21"/>
      <c r="P132" s="21"/>
      <c r="Q132" s="2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">
      <c r="A133" s="47" t="s">
        <v>340</v>
      </c>
      <c r="B133" s="55" t="s">
        <v>93</v>
      </c>
      <c r="C133" s="57" t="s">
        <v>248</v>
      </c>
      <c r="D133" s="73" t="s">
        <v>199</v>
      </c>
      <c r="E133" s="46">
        <v>1</v>
      </c>
      <c r="F133" s="43" t="s">
        <v>509</v>
      </c>
      <c r="G133" s="44">
        <v>1509.2</v>
      </c>
      <c r="H133" s="44">
        <v>1392.8</v>
      </c>
      <c r="I133" s="45">
        <f t="shared" si="7"/>
        <v>2902</v>
      </c>
      <c r="J133" s="21"/>
      <c r="K133" s="21"/>
      <c r="L133" s="21"/>
      <c r="M133" s="21"/>
      <c r="N133" s="21"/>
      <c r="O133" s="21"/>
      <c r="P133" s="21"/>
      <c r="Q133" s="2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">
      <c r="A134" s="47" t="s">
        <v>346</v>
      </c>
      <c r="B134" s="55" t="s">
        <v>97</v>
      </c>
      <c r="C134" s="57" t="s">
        <v>248</v>
      </c>
      <c r="D134" s="57" t="s">
        <v>199</v>
      </c>
      <c r="E134" s="46">
        <v>1</v>
      </c>
      <c r="F134" s="43" t="s">
        <v>490</v>
      </c>
      <c r="G134" s="44">
        <v>1509.2</v>
      </c>
      <c r="H134" s="44">
        <v>1392.8</v>
      </c>
      <c r="I134" s="45">
        <f t="shared" si="7"/>
        <v>2902</v>
      </c>
      <c r="J134" s="21"/>
      <c r="K134" s="21"/>
      <c r="L134" s="21"/>
      <c r="M134" s="21"/>
      <c r="N134" s="21"/>
      <c r="O134" s="21"/>
      <c r="P134" s="21"/>
      <c r="Q134" s="2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">
      <c r="A135" s="47" t="s">
        <v>340</v>
      </c>
      <c r="B135" s="55" t="s">
        <v>93</v>
      </c>
      <c r="C135" s="57" t="s">
        <v>248</v>
      </c>
      <c r="D135" s="57" t="s">
        <v>199</v>
      </c>
      <c r="E135" s="46">
        <v>1</v>
      </c>
      <c r="F135" s="43" t="s">
        <v>413</v>
      </c>
      <c r="G135" s="44">
        <v>837.83</v>
      </c>
      <c r="H135" s="44">
        <v>1392.8</v>
      </c>
      <c r="I135" s="45">
        <f t="shared" si="7"/>
        <v>2230.63</v>
      </c>
      <c r="J135" s="21"/>
      <c r="K135" s="21"/>
      <c r="L135" s="21"/>
      <c r="M135" s="21"/>
      <c r="N135" s="21"/>
      <c r="O135" s="21"/>
      <c r="P135" s="21"/>
      <c r="Q135" s="2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">
      <c r="A136" s="47" t="s">
        <v>340</v>
      </c>
      <c r="B136" s="55" t="s">
        <v>93</v>
      </c>
      <c r="C136" s="57" t="s">
        <v>194</v>
      </c>
      <c r="D136" s="57" t="s">
        <v>199</v>
      </c>
      <c r="E136" s="46">
        <v>1</v>
      </c>
      <c r="F136" s="43" t="s">
        <v>414</v>
      </c>
      <c r="G136" s="44">
        <v>809.06</v>
      </c>
      <c r="H136" s="44">
        <v>1392.8</v>
      </c>
      <c r="I136" s="45">
        <f t="shared" si="7"/>
        <v>2201.8599999999997</v>
      </c>
      <c r="J136" s="21"/>
      <c r="K136" s="21"/>
      <c r="L136" s="21"/>
      <c r="M136" s="21"/>
      <c r="N136" s="21"/>
      <c r="O136" s="21"/>
      <c r="P136" s="21"/>
      <c r="Q136" s="2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">
      <c r="A137" s="47" t="s">
        <v>340</v>
      </c>
      <c r="B137" s="55" t="s">
        <v>93</v>
      </c>
      <c r="C137" s="57" t="s">
        <v>194</v>
      </c>
      <c r="D137" s="57" t="s">
        <v>181</v>
      </c>
      <c r="E137" s="46">
        <v>1</v>
      </c>
      <c r="F137" s="78" t="s">
        <v>505</v>
      </c>
      <c r="G137" s="44">
        <v>0</v>
      </c>
      <c r="H137" s="44">
        <v>1392.8</v>
      </c>
      <c r="I137" s="45">
        <f t="shared" si="7"/>
        <v>1392.8</v>
      </c>
      <c r="J137" s="21"/>
      <c r="K137" s="21"/>
      <c r="L137" s="21"/>
      <c r="M137" s="21"/>
      <c r="N137" s="21"/>
      <c r="O137" s="21"/>
      <c r="P137" s="21"/>
      <c r="Q137" s="2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">
      <c r="A138" s="47" t="s">
        <v>340</v>
      </c>
      <c r="B138" s="55" t="s">
        <v>93</v>
      </c>
      <c r="C138" s="57" t="s">
        <v>194</v>
      </c>
      <c r="D138" s="57" t="s">
        <v>181</v>
      </c>
      <c r="E138" s="46">
        <v>1</v>
      </c>
      <c r="F138" s="79" t="s">
        <v>495</v>
      </c>
      <c r="G138" s="44">
        <v>1509.2</v>
      </c>
      <c r="H138" s="44">
        <v>1392.8</v>
      </c>
      <c r="I138" s="45">
        <f t="shared" si="7"/>
        <v>2902</v>
      </c>
      <c r="J138" s="21"/>
      <c r="K138" s="21"/>
      <c r="L138" s="21"/>
      <c r="M138" s="21"/>
      <c r="N138" s="21"/>
      <c r="O138" s="21"/>
      <c r="P138" s="21"/>
      <c r="Q138" s="2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">
      <c r="A139" s="47" t="s">
        <v>340</v>
      </c>
      <c r="B139" s="55" t="s">
        <v>93</v>
      </c>
      <c r="C139" s="57" t="s">
        <v>194</v>
      </c>
      <c r="D139" s="57" t="s">
        <v>199</v>
      </c>
      <c r="E139" s="46">
        <v>1</v>
      </c>
      <c r="F139" s="43" t="s">
        <v>417</v>
      </c>
      <c r="G139" s="44">
        <v>1509.2</v>
      </c>
      <c r="H139" s="44">
        <v>1392.8</v>
      </c>
      <c r="I139" s="45">
        <f t="shared" si="7"/>
        <v>2902</v>
      </c>
      <c r="J139" s="21"/>
      <c r="K139" s="21"/>
      <c r="L139" s="21"/>
      <c r="M139" s="21"/>
      <c r="N139" s="21"/>
      <c r="O139" s="21"/>
      <c r="P139" s="21"/>
      <c r="Q139" s="2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">
      <c r="A140" s="47" t="s">
        <v>340</v>
      </c>
      <c r="B140" s="55" t="s">
        <v>93</v>
      </c>
      <c r="C140" s="57" t="s">
        <v>194</v>
      </c>
      <c r="D140" s="57" t="s">
        <v>199</v>
      </c>
      <c r="E140" s="46">
        <v>1</v>
      </c>
      <c r="F140" s="43" t="s">
        <v>418</v>
      </c>
      <c r="G140" s="44">
        <v>809.06</v>
      </c>
      <c r="H140" s="44">
        <v>1392.8</v>
      </c>
      <c r="I140" s="45">
        <f t="shared" si="7"/>
        <v>2201.8599999999997</v>
      </c>
      <c r="J140" s="21"/>
      <c r="K140" s="21"/>
      <c r="L140" s="21"/>
      <c r="M140" s="21"/>
      <c r="N140" s="21"/>
      <c r="O140" s="21"/>
      <c r="P140" s="21"/>
      <c r="Q140" s="2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">
      <c r="A141" s="47" t="s">
        <v>341</v>
      </c>
      <c r="B141" s="55" t="s">
        <v>342</v>
      </c>
      <c r="C141" s="57" t="s">
        <v>194</v>
      </c>
      <c r="D141" s="57" t="s">
        <v>199</v>
      </c>
      <c r="E141" s="46">
        <v>1</v>
      </c>
      <c r="F141" s="43" t="s">
        <v>419</v>
      </c>
      <c r="G141" s="44">
        <v>852.4</v>
      </c>
      <c r="H141" s="44">
        <v>849.76</v>
      </c>
      <c r="I141" s="45">
        <f t="shared" si="7"/>
        <v>1702.1599999999999</v>
      </c>
      <c r="J141" s="21"/>
      <c r="K141" s="21"/>
      <c r="L141" s="21"/>
      <c r="M141" s="21"/>
      <c r="N141" s="21"/>
      <c r="O141" s="21"/>
      <c r="P141" s="21"/>
      <c r="Q141" s="2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">
      <c r="A142" s="47" t="s">
        <v>341</v>
      </c>
      <c r="B142" s="55" t="s">
        <v>342</v>
      </c>
      <c r="C142" s="57" t="s">
        <v>194</v>
      </c>
      <c r="D142" s="57" t="s">
        <v>199</v>
      </c>
      <c r="E142" s="46">
        <v>1</v>
      </c>
      <c r="F142" s="43" t="s">
        <v>478</v>
      </c>
      <c r="G142" s="44">
        <v>1509.2</v>
      </c>
      <c r="H142" s="44">
        <v>849.76</v>
      </c>
      <c r="I142" s="45">
        <f t="shared" si="7"/>
        <v>2358.96</v>
      </c>
      <c r="J142" s="21"/>
      <c r="K142" s="21"/>
      <c r="L142" s="21"/>
      <c r="M142" s="21"/>
      <c r="N142" s="21"/>
      <c r="O142" s="21"/>
      <c r="P142" s="21"/>
      <c r="Q142" s="2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">
      <c r="A143" s="47" t="s">
        <v>341</v>
      </c>
      <c r="B143" s="55" t="s">
        <v>342</v>
      </c>
      <c r="C143" s="57" t="s">
        <v>194</v>
      </c>
      <c r="D143" s="57" t="s">
        <v>199</v>
      </c>
      <c r="E143" s="46">
        <v>1</v>
      </c>
      <c r="F143" s="43" t="s">
        <v>421</v>
      </c>
      <c r="G143" s="44">
        <v>809.06</v>
      </c>
      <c r="H143" s="44">
        <v>849.76</v>
      </c>
      <c r="I143" s="45">
        <f t="shared" si="7"/>
        <v>1658.82</v>
      </c>
      <c r="J143" s="21"/>
      <c r="K143" s="21"/>
      <c r="L143" s="21"/>
      <c r="M143" s="21"/>
      <c r="N143" s="21"/>
      <c r="O143" s="21"/>
      <c r="P143" s="21"/>
      <c r="Q143" s="2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">
      <c r="A144" s="47" t="s">
        <v>341</v>
      </c>
      <c r="B144" s="55" t="s">
        <v>342</v>
      </c>
      <c r="C144" s="57" t="s">
        <v>194</v>
      </c>
      <c r="D144" s="57" t="s">
        <v>199</v>
      </c>
      <c r="E144" s="46">
        <v>1</v>
      </c>
      <c r="F144" s="43" t="s">
        <v>422</v>
      </c>
      <c r="G144" s="44">
        <v>837.26</v>
      </c>
      <c r="H144" s="44">
        <v>849.76</v>
      </c>
      <c r="I144" s="45">
        <f t="shared" si="7"/>
        <v>1687.02</v>
      </c>
      <c r="J144" s="21"/>
      <c r="K144" s="21"/>
      <c r="L144" s="21"/>
      <c r="M144" s="21"/>
      <c r="N144" s="21"/>
      <c r="O144" s="21"/>
      <c r="P144" s="21"/>
      <c r="Q144" s="2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">
      <c r="A145" s="47" t="s">
        <v>346</v>
      </c>
      <c r="B145" s="55" t="s">
        <v>97</v>
      </c>
      <c r="C145" s="57" t="s">
        <v>194</v>
      </c>
      <c r="D145" s="57" t="s">
        <v>199</v>
      </c>
      <c r="E145" s="46">
        <v>1</v>
      </c>
      <c r="F145" s="43" t="s">
        <v>423</v>
      </c>
      <c r="G145" s="44">
        <v>824.75</v>
      </c>
      <c r="H145" s="44">
        <v>566.5</v>
      </c>
      <c r="I145" s="45">
        <f t="shared" si="7"/>
        <v>1391.25</v>
      </c>
      <c r="J145" s="21"/>
      <c r="K145" s="21"/>
      <c r="L145" s="21"/>
      <c r="M145" s="21"/>
      <c r="N145" s="21"/>
      <c r="O145" s="21"/>
      <c r="P145" s="21"/>
      <c r="Q145" s="21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">
      <c r="A146" s="47" t="s">
        <v>346</v>
      </c>
      <c r="B146" s="55" t="s">
        <v>97</v>
      </c>
      <c r="C146" s="57" t="s">
        <v>194</v>
      </c>
      <c r="D146" s="57" t="s">
        <v>199</v>
      </c>
      <c r="E146" s="46">
        <v>1</v>
      </c>
      <c r="F146" s="43" t="s">
        <v>424</v>
      </c>
      <c r="G146" s="44">
        <v>831.26</v>
      </c>
      <c r="H146" s="44">
        <v>566.5</v>
      </c>
      <c r="I146" s="45">
        <f t="shared" si="7"/>
        <v>1397.76</v>
      </c>
      <c r="J146" s="21"/>
      <c r="K146" s="21"/>
      <c r="L146" s="21"/>
      <c r="M146" s="21"/>
      <c r="N146" s="21"/>
      <c r="O146" s="21"/>
      <c r="P146" s="21"/>
      <c r="Q146" s="21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">
      <c r="A147" s="47" t="s">
        <v>363</v>
      </c>
      <c r="B147" s="55" t="s">
        <v>342</v>
      </c>
      <c r="C147" s="57" t="s">
        <v>194</v>
      </c>
      <c r="D147" s="57" t="s">
        <v>199</v>
      </c>
      <c r="E147" s="46">
        <v>1</v>
      </c>
      <c r="F147" s="43" t="s">
        <v>425</v>
      </c>
      <c r="G147" s="44">
        <v>1509.2</v>
      </c>
      <c r="H147" s="44">
        <v>849.76</v>
      </c>
      <c r="I147" s="45">
        <f t="shared" si="7"/>
        <v>2358.96</v>
      </c>
      <c r="J147" s="21"/>
      <c r="K147" s="21"/>
      <c r="L147" s="21"/>
      <c r="M147" s="21"/>
      <c r="N147" s="21"/>
      <c r="O147" s="21"/>
      <c r="P147" s="21"/>
      <c r="Q147" s="21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">
      <c r="A148" s="47" t="s">
        <v>340</v>
      </c>
      <c r="B148" s="55" t="s">
        <v>93</v>
      </c>
      <c r="C148" s="57" t="s">
        <v>254</v>
      </c>
      <c r="D148" s="73" t="s">
        <v>199</v>
      </c>
      <c r="E148" s="46">
        <v>1</v>
      </c>
      <c r="F148" s="43" t="s">
        <v>510</v>
      </c>
      <c r="G148" s="86">
        <v>1509.2</v>
      </c>
      <c r="H148" s="44">
        <v>1392.8</v>
      </c>
      <c r="I148" s="45">
        <f t="shared" si="7"/>
        <v>2902</v>
      </c>
      <c r="J148" s="21"/>
      <c r="K148" s="21"/>
      <c r="L148" s="21"/>
      <c r="M148" s="21"/>
      <c r="N148" s="21"/>
      <c r="O148" s="21"/>
      <c r="P148" s="21"/>
      <c r="Q148" s="21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">
      <c r="A149" s="47" t="s">
        <v>340</v>
      </c>
      <c r="B149" s="55" t="s">
        <v>93</v>
      </c>
      <c r="C149" s="57" t="s">
        <v>254</v>
      </c>
      <c r="D149" s="57" t="s">
        <v>181</v>
      </c>
      <c r="E149" s="46">
        <v>1</v>
      </c>
      <c r="F149" s="87" t="s">
        <v>486</v>
      </c>
      <c r="G149" s="44">
        <v>0</v>
      </c>
      <c r="H149" s="44">
        <v>1392.8</v>
      </c>
      <c r="I149" s="45">
        <f t="shared" si="7"/>
        <v>1392.8</v>
      </c>
      <c r="J149" s="21"/>
      <c r="K149" s="21"/>
      <c r="L149" s="21"/>
      <c r="M149" s="21"/>
      <c r="N149" s="21"/>
      <c r="O149" s="21"/>
      <c r="P149" s="21"/>
      <c r="Q149" s="2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">
      <c r="A150" s="47" t="s">
        <v>340</v>
      </c>
      <c r="B150" s="55" t="s">
        <v>93</v>
      </c>
      <c r="C150" s="57" t="s">
        <v>364</v>
      </c>
      <c r="D150" s="57" t="s">
        <v>181</v>
      </c>
      <c r="E150" s="46">
        <v>1</v>
      </c>
      <c r="F150" s="43" t="s">
        <v>428</v>
      </c>
      <c r="G150" s="44">
        <v>0</v>
      </c>
      <c r="H150" s="44">
        <v>1392.8</v>
      </c>
      <c r="I150" s="45">
        <f t="shared" si="7"/>
        <v>1392.8</v>
      </c>
      <c r="J150" s="21"/>
      <c r="K150" s="21"/>
      <c r="L150" s="21"/>
      <c r="M150" s="21"/>
      <c r="N150" s="21"/>
      <c r="O150" s="21"/>
      <c r="P150" s="21"/>
      <c r="Q150" s="21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">
      <c r="A151" s="47" t="s">
        <v>340</v>
      </c>
      <c r="B151" s="55" t="s">
        <v>93</v>
      </c>
      <c r="C151" s="57" t="s">
        <v>364</v>
      </c>
      <c r="D151" s="57" t="s">
        <v>199</v>
      </c>
      <c r="E151" s="46">
        <v>1</v>
      </c>
      <c r="F151" s="43" t="s">
        <v>429</v>
      </c>
      <c r="G151" s="44">
        <v>809.06</v>
      </c>
      <c r="H151" s="44">
        <v>1392.8</v>
      </c>
      <c r="I151" s="45">
        <f t="shared" si="7"/>
        <v>2201.8599999999997</v>
      </c>
      <c r="J151" s="21"/>
      <c r="K151" s="21"/>
      <c r="L151" s="21"/>
      <c r="M151" s="21"/>
      <c r="N151" s="21"/>
      <c r="O151" s="21"/>
      <c r="P151" s="21"/>
      <c r="Q151" s="2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">
      <c r="A152" s="47" t="s">
        <v>346</v>
      </c>
      <c r="B152" s="55" t="s">
        <v>97</v>
      </c>
      <c r="C152" s="57" t="s">
        <v>364</v>
      </c>
      <c r="D152" s="57" t="s">
        <v>199</v>
      </c>
      <c r="E152" s="46">
        <v>1</v>
      </c>
      <c r="F152" s="79" t="s">
        <v>511</v>
      </c>
      <c r="G152" s="44">
        <v>809.06</v>
      </c>
      <c r="H152" s="44">
        <v>566.5</v>
      </c>
      <c r="I152" s="45">
        <f t="shared" si="7"/>
        <v>1375.56</v>
      </c>
      <c r="J152" s="21"/>
      <c r="K152" s="21"/>
      <c r="L152" s="21"/>
      <c r="M152" s="21"/>
      <c r="N152" s="21"/>
      <c r="O152" s="21"/>
      <c r="P152" s="21"/>
      <c r="Q152" s="21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">
      <c r="A153" s="47" t="s">
        <v>341</v>
      </c>
      <c r="B153" s="55" t="s">
        <v>342</v>
      </c>
      <c r="C153" s="57" t="s">
        <v>364</v>
      </c>
      <c r="D153" s="57" t="s">
        <v>199</v>
      </c>
      <c r="E153" s="46">
        <v>1</v>
      </c>
      <c r="F153" s="79" t="s">
        <v>506</v>
      </c>
      <c r="G153" s="44">
        <v>809.06</v>
      </c>
      <c r="H153" s="44">
        <v>849.76</v>
      </c>
      <c r="I153" s="45">
        <f t="shared" si="7"/>
        <v>1658.82</v>
      </c>
      <c r="J153" s="21"/>
      <c r="K153" s="21"/>
      <c r="L153" s="21"/>
      <c r="M153" s="21"/>
      <c r="N153" s="21"/>
      <c r="O153" s="21"/>
      <c r="P153" s="21"/>
      <c r="Q153" s="2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">
      <c r="A154" s="47" t="s">
        <v>346</v>
      </c>
      <c r="B154" s="55" t="s">
        <v>97</v>
      </c>
      <c r="C154" s="57" t="s">
        <v>260</v>
      </c>
      <c r="D154" s="57" t="s">
        <v>181</v>
      </c>
      <c r="E154" s="46">
        <v>1</v>
      </c>
      <c r="F154" s="78" t="s">
        <v>432</v>
      </c>
      <c r="G154" s="44">
        <v>0</v>
      </c>
      <c r="H154" s="44">
        <v>566.5</v>
      </c>
      <c r="I154" s="45">
        <f t="shared" si="7"/>
        <v>566.5</v>
      </c>
      <c r="J154" s="21"/>
      <c r="K154" s="21"/>
      <c r="L154" s="21"/>
      <c r="M154" s="21"/>
      <c r="N154" s="21"/>
      <c r="O154" s="21"/>
      <c r="P154" s="21"/>
      <c r="Q154" s="2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">
      <c r="A155" s="47" t="s">
        <v>340</v>
      </c>
      <c r="B155" s="55" t="s">
        <v>93</v>
      </c>
      <c r="C155" s="57" t="s">
        <v>260</v>
      </c>
      <c r="D155" s="73" t="s">
        <v>183</v>
      </c>
      <c r="E155" s="46">
        <v>1</v>
      </c>
      <c r="F155" s="79" t="s">
        <v>183</v>
      </c>
      <c r="G155" s="44">
        <v>0</v>
      </c>
      <c r="H155" s="44">
        <v>0</v>
      </c>
      <c r="I155" s="45">
        <f t="shared" si="7"/>
        <v>0</v>
      </c>
      <c r="J155" s="21"/>
      <c r="K155" s="21"/>
      <c r="L155" s="21"/>
      <c r="M155" s="21"/>
      <c r="N155" s="21"/>
      <c r="O155" s="21"/>
      <c r="P155" s="21"/>
      <c r="Q155" s="21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">
      <c r="A156" s="47" t="s">
        <v>365</v>
      </c>
      <c r="B156" s="55" t="s">
        <v>93</v>
      </c>
      <c r="C156" s="57" t="s">
        <v>260</v>
      </c>
      <c r="D156" s="57" t="s">
        <v>181</v>
      </c>
      <c r="E156" s="46">
        <v>1</v>
      </c>
      <c r="F156" s="43" t="s">
        <v>434</v>
      </c>
      <c r="G156" s="44">
        <v>0</v>
      </c>
      <c r="H156" s="44">
        <v>1392.8</v>
      </c>
      <c r="I156" s="45">
        <f t="shared" si="7"/>
        <v>1392.8</v>
      </c>
      <c r="J156" s="21"/>
      <c r="K156" s="21"/>
      <c r="L156" s="21"/>
      <c r="M156" s="21"/>
      <c r="N156" s="21"/>
      <c r="O156" s="21"/>
      <c r="P156" s="21"/>
      <c r="Q156" s="2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">
      <c r="A157" s="47" t="s">
        <v>365</v>
      </c>
      <c r="B157" s="55" t="s">
        <v>93</v>
      </c>
      <c r="C157" s="57" t="s">
        <v>260</v>
      </c>
      <c r="D157" s="57" t="s">
        <v>181</v>
      </c>
      <c r="E157" s="46">
        <v>1</v>
      </c>
      <c r="F157" s="43" t="s">
        <v>435</v>
      </c>
      <c r="G157" s="44">
        <v>0</v>
      </c>
      <c r="H157" s="44">
        <v>1392.8</v>
      </c>
      <c r="I157" s="45">
        <f t="shared" si="7"/>
        <v>1392.8</v>
      </c>
      <c r="J157" s="21"/>
      <c r="K157" s="21"/>
      <c r="L157" s="21"/>
      <c r="M157" s="21"/>
      <c r="N157" s="21"/>
      <c r="O157" s="21"/>
      <c r="P157" s="21"/>
      <c r="Q157" s="2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">
      <c r="A158" s="47" t="s">
        <v>341</v>
      </c>
      <c r="B158" s="55" t="s">
        <v>342</v>
      </c>
      <c r="C158" s="57" t="s">
        <v>198</v>
      </c>
      <c r="D158" s="57" t="s">
        <v>199</v>
      </c>
      <c r="E158" s="46">
        <v>1</v>
      </c>
      <c r="F158" s="78" t="s">
        <v>507</v>
      </c>
      <c r="G158" s="44">
        <v>809.06</v>
      </c>
      <c r="H158" s="44">
        <v>849.76</v>
      </c>
      <c r="I158" s="45">
        <f t="shared" si="7"/>
        <v>1658.82</v>
      </c>
      <c r="J158" s="21"/>
      <c r="K158" s="21"/>
      <c r="L158" s="21"/>
      <c r="M158" s="21"/>
      <c r="N158" s="21"/>
      <c r="O158" s="21"/>
      <c r="P158" s="21"/>
      <c r="Q158" s="2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">
      <c r="A159" s="47" t="s">
        <v>343</v>
      </c>
      <c r="B159" s="55" t="s">
        <v>101</v>
      </c>
      <c r="C159" s="57" t="s">
        <v>198</v>
      </c>
      <c r="D159" s="57" t="s">
        <v>199</v>
      </c>
      <c r="E159" s="46">
        <v>1</v>
      </c>
      <c r="F159" s="43" t="s">
        <v>437</v>
      </c>
      <c r="G159" s="44">
        <v>1509.2</v>
      </c>
      <c r="H159" s="44">
        <v>849.76</v>
      </c>
      <c r="I159" s="45">
        <f t="shared" si="7"/>
        <v>2358.96</v>
      </c>
      <c r="J159" s="21"/>
      <c r="K159" s="21"/>
      <c r="L159" s="21"/>
      <c r="M159" s="21"/>
      <c r="N159" s="21"/>
      <c r="O159" s="21"/>
      <c r="P159" s="21"/>
      <c r="Q159" s="2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">
      <c r="A160" s="47" t="s">
        <v>340</v>
      </c>
      <c r="B160" s="55" t="s">
        <v>93</v>
      </c>
      <c r="C160" s="57" t="s">
        <v>366</v>
      </c>
      <c r="D160" s="57" t="s">
        <v>181</v>
      </c>
      <c r="E160" s="46">
        <v>1</v>
      </c>
      <c r="F160" s="43" t="s">
        <v>438</v>
      </c>
      <c r="G160" s="44">
        <v>0</v>
      </c>
      <c r="H160" s="44">
        <v>1392.8</v>
      </c>
      <c r="I160" s="45">
        <f t="shared" si="7"/>
        <v>1392.8</v>
      </c>
      <c r="J160" s="21"/>
      <c r="K160" s="21"/>
      <c r="L160" s="21"/>
      <c r="M160" s="21"/>
      <c r="N160" s="21"/>
      <c r="O160" s="21"/>
      <c r="P160" s="21"/>
      <c r="Q160" s="2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">
      <c r="A161" s="47" t="s">
        <v>340</v>
      </c>
      <c r="B161" s="55" t="s">
        <v>93</v>
      </c>
      <c r="C161" s="57" t="s">
        <v>366</v>
      </c>
      <c r="D161" s="57" t="s">
        <v>199</v>
      </c>
      <c r="E161" s="46">
        <v>1</v>
      </c>
      <c r="F161" s="43" t="s">
        <v>439</v>
      </c>
      <c r="G161" s="44">
        <v>852.4</v>
      </c>
      <c r="H161" s="44">
        <v>1392.8</v>
      </c>
      <c r="I161" s="45">
        <f t="shared" si="7"/>
        <v>2245.1999999999998</v>
      </c>
      <c r="J161" s="21"/>
      <c r="K161" s="21"/>
      <c r="L161" s="21"/>
      <c r="M161" s="21"/>
      <c r="N161" s="21"/>
      <c r="O161" s="21"/>
      <c r="P161" s="21"/>
      <c r="Q161" s="2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">
      <c r="A162" s="47" t="s">
        <v>341</v>
      </c>
      <c r="B162" s="55" t="s">
        <v>342</v>
      </c>
      <c r="C162" s="57" t="s">
        <v>366</v>
      </c>
      <c r="D162" s="57" t="s">
        <v>199</v>
      </c>
      <c r="E162" s="46">
        <v>1</v>
      </c>
      <c r="F162" s="43" t="s">
        <v>440</v>
      </c>
      <c r="G162" s="44">
        <v>831.26</v>
      </c>
      <c r="H162" s="44">
        <v>849.76</v>
      </c>
      <c r="I162" s="45">
        <f t="shared" si="7"/>
        <v>1681.02</v>
      </c>
      <c r="J162" s="21"/>
      <c r="K162" s="21"/>
      <c r="L162" s="21"/>
      <c r="M162" s="21"/>
      <c r="N162" s="21"/>
      <c r="O162" s="21"/>
      <c r="P162" s="21"/>
      <c r="Q162" s="2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">
      <c r="A163" s="47" t="s">
        <v>341</v>
      </c>
      <c r="B163" s="55" t="s">
        <v>342</v>
      </c>
      <c r="C163" s="57" t="s">
        <v>366</v>
      </c>
      <c r="D163" s="57" t="s">
        <v>199</v>
      </c>
      <c r="E163" s="46">
        <v>1</v>
      </c>
      <c r="F163" s="43" t="s">
        <v>441</v>
      </c>
      <c r="G163" s="44">
        <v>824.11</v>
      </c>
      <c r="H163" s="44">
        <v>849.76</v>
      </c>
      <c r="I163" s="45">
        <f t="shared" si="7"/>
        <v>1673.87</v>
      </c>
      <c r="J163" s="21"/>
      <c r="K163" s="21"/>
      <c r="L163" s="21"/>
      <c r="M163" s="21"/>
      <c r="N163" s="21"/>
      <c r="O163" s="21"/>
      <c r="P163" s="21"/>
      <c r="Q163" s="2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">
      <c r="A164" s="47" t="s">
        <v>341</v>
      </c>
      <c r="B164" s="55" t="s">
        <v>342</v>
      </c>
      <c r="C164" s="57" t="s">
        <v>366</v>
      </c>
      <c r="D164" s="57" t="s">
        <v>199</v>
      </c>
      <c r="E164" s="46">
        <v>1</v>
      </c>
      <c r="F164" s="43" t="s">
        <v>442</v>
      </c>
      <c r="G164" s="44">
        <v>1109.1600000000001</v>
      </c>
      <c r="H164" s="44">
        <v>849.76</v>
      </c>
      <c r="I164" s="45">
        <f t="shared" si="7"/>
        <v>1958.92</v>
      </c>
      <c r="J164" s="21"/>
      <c r="K164" s="21"/>
      <c r="L164" s="21"/>
      <c r="M164" s="21"/>
      <c r="N164" s="21"/>
      <c r="O164" s="21"/>
      <c r="P164" s="21"/>
      <c r="Q164" s="2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">
      <c r="A165" s="47" t="s">
        <v>341</v>
      </c>
      <c r="B165" s="55" t="s">
        <v>342</v>
      </c>
      <c r="C165" s="57" t="s">
        <v>366</v>
      </c>
      <c r="D165" s="57" t="s">
        <v>199</v>
      </c>
      <c r="E165" s="46">
        <v>1</v>
      </c>
      <c r="F165" s="43" t="s">
        <v>443</v>
      </c>
      <c r="G165" s="44">
        <v>811.5</v>
      </c>
      <c r="H165" s="44">
        <v>849.76</v>
      </c>
      <c r="I165" s="45">
        <f t="shared" si="7"/>
        <v>1661.26</v>
      </c>
      <c r="J165" s="21"/>
      <c r="K165" s="21"/>
      <c r="L165" s="21"/>
      <c r="M165" s="21"/>
      <c r="N165" s="21"/>
      <c r="O165" s="21"/>
      <c r="P165" s="21"/>
      <c r="Q165" s="2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">
      <c r="A166" s="47" t="s">
        <v>341</v>
      </c>
      <c r="B166" s="55" t="s">
        <v>342</v>
      </c>
      <c r="C166" s="57" t="s">
        <v>366</v>
      </c>
      <c r="D166" s="57" t="s">
        <v>199</v>
      </c>
      <c r="E166" s="46">
        <v>1</v>
      </c>
      <c r="F166" s="43" t="s">
        <v>444</v>
      </c>
      <c r="G166" s="44">
        <v>831.13</v>
      </c>
      <c r="H166" s="44">
        <v>849.76</v>
      </c>
      <c r="I166" s="45">
        <f t="shared" si="7"/>
        <v>1680.8899999999999</v>
      </c>
      <c r="J166" s="21"/>
      <c r="K166" s="21"/>
      <c r="L166" s="21"/>
      <c r="M166" s="21"/>
      <c r="N166" s="21"/>
      <c r="O166" s="21"/>
      <c r="P166" s="21"/>
      <c r="Q166" s="2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">
      <c r="A167" s="47" t="s">
        <v>346</v>
      </c>
      <c r="B167" s="55" t="s">
        <v>97</v>
      </c>
      <c r="C167" s="57" t="s">
        <v>366</v>
      </c>
      <c r="D167" s="57" t="s">
        <v>199</v>
      </c>
      <c r="E167" s="46">
        <v>1</v>
      </c>
      <c r="F167" s="43" t="s">
        <v>445</v>
      </c>
      <c r="G167" s="44">
        <v>844.87</v>
      </c>
      <c r="H167" s="44">
        <v>566.5</v>
      </c>
      <c r="I167" s="45">
        <f t="shared" si="7"/>
        <v>1411.37</v>
      </c>
      <c r="J167" s="21"/>
      <c r="K167" s="21"/>
      <c r="L167" s="21"/>
      <c r="M167" s="21"/>
      <c r="N167" s="21"/>
      <c r="O167" s="21"/>
      <c r="P167" s="21"/>
      <c r="Q167" s="2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">
      <c r="A168" s="47" t="s">
        <v>346</v>
      </c>
      <c r="B168" s="55" t="s">
        <v>97</v>
      </c>
      <c r="C168" s="57" t="s">
        <v>291</v>
      </c>
      <c r="D168" s="57" t="s">
        <v>199</v>
      </c>
      <c r="E168" s="46">
        <v>1</v>
      </c>
      <c r="F168" s="43" t="s">
        <v>446</v>
      </c>
      <c r="G168" s="44">
        <v>852.4</v>
      </c>
      <c r="H168" s="44">
        <v>566.5</v>
      </c>
      <c r="I168" s="45">
        <f t="shared" si="7"/>
        <v>1418.9</v>
      </c>
      <c r="J168" s="21"/>
      <c r="K168" s="21"/>
      <c r="L168" s="21"/>
      <c r="M168" s="21"/>
      <c r="N168" s="21"/>
      <c r="O168" s="21"/>
      <c r="P168" s="21"/>
      <c r="Q168" s="2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">
      <c r="A169" s="47" t="s">
        <v>94</v>
      </c>
      <c r="B169" s="55" t="s">
        <v>342</v>
      </c>
      <c r="C169" s="57" t="s">
        <v>291</v>
      </c>
      <c r="D169" s="57" t="s">
        <v>199</v>
      </c>
      <c r="E169" s="46">
        <v>1</v>
      </c>
      <c r="F169" s="43" t="s">
        <v>487</v>
      </c>
      <c r="G169" s="44">
        <v>809.06</v>
      </c>
      <c r="H169" s="44">
        <v>849.76</v>
      </c>
      <c r="I169" s="45">
        <f t="shared" si="7"/>
        <v>1658.82</v>
      </c>
      <c r="J169" s="21"/>
      <c r="K169" s="21"/>
      <c r="L169" s="21"/>
      <c r="M169" s="21"/>
      <c r="N169" s="21"/>
      <c r="O169" s="21"/>
      <c r="P169" s="21"/>
      <c r="Q169" s="2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">
      <c r="A170" s="47" t="s">
        <v>341</v>
      </c>
      <c r="B170" s="55" t="s">
        <v>342</v>
      </c>
      <c r="C170" s="57" t="s">
        <v>291</v>
      </c>
      <c r="D170" s="57" t="s">
        <v>181</v>
      </c>
      <c r="E170" s="46">
        <v>1</v>
      </c>
      <c r="F170" s="43" t="s">
        <v>448</v>
      </c>
      <c r="G170" s="44">
        <v>0</v>
      </c>
      <c r="H170" s="44">
        <v>849.76</v>
      </c>
      <c r="I170" s="45">
        <f t="shared" si="7"/>
        <v>849.76</v>
      </c>
      <c r="J170" s="21"/>
      <c r="K170" s="21"/>
      <c r="L170" s="21"/>
      <c r="M170" s="21"/>
      <c r="N170" s="21"/>
      <c r="O170" s="21"/>
      <c r="P170" s="21"/>
      <c r="Q170" s="2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">
      <c r="A171" s="47" t="s">
        <v>340</v>
      </c>
      <c r="B171" s="55" t="s">
        <v>93</v>
      </c>
      <c r="C171" s="57" t="s">
        <v>291</v>
      </c>
      <c r="D171" s="57" t="s">
        <v>199</v>
      </c>
      <c r="E171" s="46">
        <v>1</v>
      </c>
      <c r="F171" s="43" t="s">
        <v>449</v>
      </c>
      <c r="G171" s="44">
        <v>852.4</v>
      </c>
      <c r="H171" s="44">
        <v>1392.8</v>
      </c>
      <c r="I171" s="45">
        <f t="shared" si="7"/>
        <v>2245.1999999999998</v>
      </c>
      <c r="J171" s="21"/>
      <c r="K171" s="21"/>
      <c r="L171" s="21"/>
      <c r="M171" s="21"/>
      <c r="N171" s="21"/>
      <c r="O171" s="21"/>
      <c r="P171" s="21"/>
      <c r="Q171" s="2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">
      <c r="A172" s="47" t="s">
        <v>340</v>
      </c>
      <c r="B172" s="55" t="s">
        <v>93</v>
      </c>
      <c r="C172" s="57" t="s">
        <v>291</v>
      </c>
      <c r="D172" s="57" t="s">
        <v>199</v>
      </c>
      <c r="E172" s="46">
        <v>1</v>
      </c>
      <c r="F172" s="43" t="s">
        <v>450</v>
      </c>
      <c r="G172" s="44">
        <v>844.87</v>
      </c>
      <c r="H172" s="44">
        <v>1392.8</v>
      </c>
      <c r="I172" s="45">
        <f t="shared" si="7"/>
        <v>2237.67</v>
      </c>
      <c r="J172" s="21"/>
      <c r="K172" s="21"/>
      <c r="L172" s="21"/>
      <c r="M172" s="21"/>
      <c r="N172" s="21"/>
      <c r="O172" s="21"/>
      <c r="P172" s="21"/>
      <c r="Q172" s="2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">
      <c r="A173" s="47" t="s">
        <v>340</v>
      </c>
      <c r="B173" s="55" t="s">
        <v>93</v>
      </c>
      <c r="C173" s="57" t="s">
        <v>291</v>
      </c>
      <c r="D173" s="57" t="s">
        <v>199</v>
      </c>
      <c r="E173" s="46">
        <v>1</v>
      </c>
      <c r="F173" s="43" t="s">
        <v>451</v>
      </c>
      <c r="G173" s="44">
        <v>852.4</v>
      </c>
      <c r="H173" s="44">
        <v>1392.8</v>
      </c>
      <c r="I173" s="45">
        <f t="shared" si="7"/>
        <v>2245.1999999999998</v>
      </c>
      <c r="J173" s="21"/>
      <c r="K173" s="21"/>
      <c r="L173" s="21"/>
      <c r="M173" s="21"/>
      <c r="N173" s="21"/>
      <c r="O173" s="21"/>
      <c r="P173" s="21"/>
      <c r="Q173" s="2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">
      <c r="A174" s="47" t="s">
        <v>346</v>
      </c>
      <c r="B174" s="55" t="s">
        <v>97</v>
      </c>
      <c r="C174" s="57" t="s">
        <v>291</v>
      </c>
      <c r="D174" s="57" t="s">
        <v>199</v>
      </c>
      <c r="E174" s="46">
        <v>1</v>
      </c>
      <c r="F174" s="43" t="s">
        <v>452</v>
      </c>
      <c r="G174" s="44">
        <v>852.4</v>
      </c>
      <c r="H174" s="44">
        <v>566.5</v>
      </c>
      <c r="I174" s="45">
        <f t="shared" si="7"/>
        <v>1418.9</v>
      </c>
      <c r="J174" s="21"/>
      <c r="K174" s="21"/>
      <c r="L174" s="21"/>
      <c r="M174" s="21"/>
      <c r="N174" s="21"/>
      <c r="O174" s="21"/>
      <c r="P174" s="21"/>
      <c r="Q174" s="2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">
      <c r="A175" s="47" t="s">
        <v>344</v>
      </c>
      <c r="B175" s="55" t="s">
        <v>345</v>
      </c>
      <c r="C175" s="57" t="s">
        <v>291</v>
      </c>
      <c r="D175" s="57" t="s">
        <v>199</v>
      </c>
      <c r="E175" s="46">
        <v>1</v>
      </c>
      <c r="F175" s="43" t="s">
        <v>453</v>
      </c>
      <c r="G175" s="44">
        <v>1509.2</v>
      </c>
      <c r="H175" s="44">
        <v>505.81</v>
      </c>
      <c r="I175" s="45">
        <f t="shared" si="7"/>
        <v>2015.01</v>
      </c>
      <c r="J175" s="21"/>
      <c r="K175" s="21"/>
      <c r="L175" s="21"/>
      <c r="M175" s="21"/>
      <c r="N175" s="21"/>
      <c r="O175" s="21"/>
      <c r="P175" s="21"/>
      <c r="Q175" s="2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">
      <c r="A176" s="47" t="s">
        <v>367</v>
      </c>
      <c r="B176" s="55" t="s">
        <v>103</v>
      </c>
      <c r="C176" s="57" t="s">
        <v>291</v>
      </c>
      <c r="D176" s="57" t="s">
        <v>199</v>
      </c>
      <c r="E176" s="46">
        <v>1</v>
      </c>
      <c r="F176" s="43" t="s">
        <v>454</v>
      </c>
      <c r="G176" s="44">
        <v>1509.2</v>
      </c>
      <c r="H176" s="44">
        <v>364.17</v>
      </c>
      <c r="I176" s="45">
        <f t="shared" si="7"/>
        <v>1873.3700000000001</v>
      </c>
      <c r="J176" s="21"/>
      <c r="K176" s="21"/>
      <c r="L176" s="21"/>
      <c r="M176" s="21"/>
      <c r="N176" s="21"/>
      <c r="O176" s="21"/>
      <c r="P176" s="21"/>
      <c r="Q176" s="2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">
      <c r="A177" s="47" t="s">
        <v>340</v>
      </c>
      <c r="B177" s="55" t="s">
        <v>93</v>
      </c>
      <c r="C177" s="57" t="s">
        <v>203</v>
      </c>
      <c r="D177" s="57" t="s">
        <v>181</v>
      </c>
      <c r="E177" s="46">
        <v>1</v>
      </c>
      <c r="F177" s="43" t="s">
        <v>455</v>
      </c>
      <c r="G177" s="44">
        <v>0</v>
      </c>
      <c r="H177" s="44">
        <v>1392.8</v>
      </c>
      <c r="I177" s="45">
        <f t="shared" si="7"/>
        <v>1392.8</v>
      </c>
      <c r="J177" s="21"/>
      <c r="K177" s="21"/>
      <c r="L177" s="21"/>
      <c r="M177" s="21"/>
      <c r="N177" s="21"/>
      <c r="O177" s="21"/>
      <c r="P177" s="21"/>
      <c r="Q177" s="2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">
      <c r="A178" s="47" t="s">
        <v>340</v>
      </c>
      <c r="B178" s="55" t="s">
        <v>93</v>
      </c>
      <c r="C178" s="57" t="s">
        <v>203</v>
      </c>
      <c r="D178" s="57" t="s">
        <v>181</v>
      </c>
      <c r="E178" s="46">
        <v>1</v>
      </c>
      <c r="F178" s="43" t="s">
        <v>456</v>
      </c>
      <c r="G178" s="44">
        <v>0</v>
      </c>
      <c r="H178" s="44">
        <v>1392.8</v>
      </c>
      <c r="I178" s="45">
        <f t="shared" si="7"/>
        <v>1392.8</v>
      </c>
      <c r="J178" s="21"/>
      <c r="K178" s="21"/>
      <c r="L178" s="21"/>
      <c r="M178" s="21"/>
      <c r="N178" s="21"/>
      <c r="O178" s="21"/>
      <c r="P178" s="21"/>
      <c r="Q178" s="2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">
      <c r="A179" s="47" t="s">
        <v>340</v>
      </c>
      <c r="B179" s="55" t="s">
        <v>93</v>
      </c>
      <c r="C179" s="57" t="s">
        <v>203</v>
      </c>
      <c r="D179" s="57" t="s">
        <v>199</v>
      </c>
      <c r="E179" s="46">
        <v>1</v>
      </c>
      <c r="F179" s="43" t="s">
        <v>457</v>
      </c>
      <c r="G179" s="44">
        <v>1509.2</v>
      </c>
      <c r="H179" s="44">
        <v>1392.8</v>
      </c>
      <c r="I179" s="45">
        <f t="shared" si="7"/>
        <v>2902</v>
      </c>
      <c r="J179" s="21"/>
      <c r="K179" s="21"/>
      <c r="L179" s="21"/>
      <c r="M179" s="21"/>
      <c r="N179" s="21"/>
      <c r="O179" s="21"/>
      <c r="P179" s="21"/>
      <c r="Q179" s="2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">
      <c r="A180" s="47" t="s">
        <v>346</v>
      </c>
      <c r="B180" s="55" t="s">
        <v>97</v>
      </c>
      <c r="C180" s="57" t="s">
        <v>295</v>
      </c>
      <c r="D180" s="57" t="s">
        <v>199</v>
      </c>
      <c r="E180" s="46">
        <v>1</v>
      </c>
      <c r="F180" s="43" t="s">
        <v>458</v>
      </c>
      <c r="G180" s="44">
        <v>844.87</v>
      </c>
      <c r="H180" s="44">
        <v>566.5</v>
      </c>
      <c r="I180" s="45">
        <f t="shared" si="7"/>
        <v>1411.37</v>
      </c>
      <c r="J180" s="21"/>
      <c r="K180" s="21"/>
      <c r="L180" s="21"/>
      <c r="M180" s="21"/>
      <c r="N180" s="21"/>
      <c r="O180" s="21"/>
      <c r="P180" s="21"/>
      <c r="Q180" s="2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">
      <c r="A181" s="47" t="s">
        <v>341</v>
      </c>
      <c r="B181" s="55" t="s">
        <v>342</v>
      </c>
      <c r="C181" s="57" t="s">
        <v>295</v>
      </c>
      <c r="D181" s="57" t="s">
        <v>199</v>
      </c>
      <c r="E181" s="46">
        <v>1</v>
      </c>
      <c r="F181" s="43" t="s">
        <v>459</v>
      </c>
      <c r="G181" s="44">
        <v>1509.2</v>
      </c>
      <c r="H181" s="44">
        <v>849.76</v>
      </c>
      <c r="I181" s="45">
        <f t="shared" si="7"/>
        <v>2358.96</v>
      </c>
      <c r="J181" s="21"/>
      <c r="K181" s="21"/>
      <c r="L181" s="21"/>
      <c r="M181" s="21"/>
      <c r="N181" s="21"/>
      <c r="O181" s="21"/>
      <c r="P181" s="21"/>
      <c r="Q181" s="2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">
      <c r="A182" s="47" t="s">
        <v>341</v>
      </c>
      <c r="B182" s="55" t="s">
        <v>342</v>
      </c>
      <c r="C182" s="57" t="s">
        <v>299</v>
      </c>
      <c r="D182" s="57" t="s">
        <v>199</v>
      </c>
      <c r="E182" s="46">
        <v>1</v>
      </c>
      <c r="F182" s="43" t="s">
        <v>460</v>
      </c>
      <c r="G182" s="44">
        <v>1509.2</v>
      </c>
      <c r="H182" s="44">
        <v>849.76</v>
      </c>
      <c r="I182" s="45">
        <f t="shared" si="7"/>
        <v>2358.96</v>
      </c>
      <c r="J182" s="21"/>
      <c r="K182" s="21"/>
      <c r="L182" s="21"/>
      <c r="M182" s="21"/>
      <c r="N182" s="21"/>
      <c r="O182" s="21"/>
      <c r="P182" s="21"/>
      <c r="Q182" s="2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">
      <c r="A183" s="47" t="s">
        <v>341</v>
      </c>
      <c r="B183" s="55" t="s">
        <v>342</v>
      </c>
      <c r="C183" s="57" t="s">
        <v>368</v>
      </c>
      <c r="D183" s="57" t="s">
        <v>199</v>
      </c>
      <c r="E183" s="46">
        <v>1</v>
      </c>
      <c r="F183" s="43" t="s">
        <v>461</v>
      </c>
      <c r="G183" s="44">
        <v>987.85</v>
      </c>
      <c r="H183" s="44">
        <v>849.76</v>
      </c>
      <c r="I183" s="45">
        <f t="shared" si="7"/>
        <v>1837.6100000000001</v>
      </c>
      <c r="J183" s="21"/>
      <c r="K183" s="21"/>
      <c r="L183" s="21"/>
      <c r="M183" s="21"/>
      <c r="N183" s="21"/>
      <c r="O183" s="21"/>
      <c r="P183" s="21"/>
      <c r="Q183" s="2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">
      <c r="A184" s="47" t="s">
        <v>344</v>
      </c>
      <c r="B184" s="55" t="s">
        <v>345</v>
      </c>
      <c r="C184" s="57" t="s">
        <v>368</v>
      </c>
      <c r="D184" s="57" t="s">
        <v>199</v>
      </c>
      <c r="E184" s="46">
        <v>1</v>
      </c>
      <c r="F184" s="43" t="s">
        <v>462</v>
      </c>
      <c r="G184" s="44">
        <v>990.49</v>
      </c>
      <c r="H184" s="44">
        <v>505.81</v>
      </c>
      <c r="I184" s="45">
        <f t="shared" si="7"/>
        <v>1496.3</v>
      </c>
      <c r="J184" s="21"/>
      <c r="K184" s="21"/>
      <c r="L184" s="21"/>
      <c r="M184" s="21"/>
      <c r="N184" s="21"/>
      <c r="O184" s="21"/>
      <c r="P184" s="21"/>
      <c r="Q184" s="2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">
      <c r="A185" s="47" t="s">
        <v>344</v>
      </c>
      <c r="B185" s="55" t="s">
        <v>345</v>
      </c>
      <c r="C185" s="57" t="s">
        <v>368</v>
      </c>
      <c r="D185" s="57" t="s">
        <v>199</v>
      </c>
      <c r="E185" s="46">
        <v>1</v>
      </c>
      <c r="F185" s="43" t="s">
        <v>463</v>
      </c>
      <c r="G185" s="44">
        <v>987.85</v>
      </c>
      <c r="H185" s="44">
        <v>505.81</v>
      </c>
      <c r="I185" s="45">
        <f t="shared" si="7"/>
        <v>1493.66</v>
      </c>
      <c r="J185" s="21"/>
      <c r="K185" s="21"/>
      <c r="L185" s="21"/>
      <c r="M185" s="21"/>
      <c r="N185" s="21"/>
      <c r="O185" s="21"/>
      <c r="P185" s="21"/>
      <c r="Q185" s="2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">
      <c r="A186" s="47" t="s">
        <v>346</v>
      </c>
      <c r="B186" s="55" t="s">
        <v>97</v>
      </c>
      <c r="C186" s="57" t="s">
        <v>368</v>
      </c>
      <c r="D186" s="57" t="s">
        <v>199</v>
      </c>
      <c r="E186" s="46">
        <v>1</v>
      </c>
      <c r="F186" s="43" t="s">
        <v>464</v>
      </c>
      <c r="G186" s="44">
        <v>974.09</v>
      </c>
      <c r="H186" s="44">
        <v>566.5</v>
      </c>
      <c r="I186" s="45">
        <f t="shared" si="7"/>
        <v>1540.5900000000001</v>
      </c>
      <c r="J186" s="21"/>
      <c r="K186" s="21"/>
      <c r="L186" s="21"/>
      <c r="M186" s="21"/>
      <c r="N186" s="21"/>
      <c r="O186" s="21"/>
      <c r="P186" s="21"/>
      <c r="Q186" s="2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">
      <c r="A187" s="47" t="s">
        <v>346</v>
      </c>
      <c r="B187" s="55" t="s">
        <v>97</v>
      </c>
      <c r="C187" s="57" t="s">
        <v>369</v>
      </c>
      <c r="D187" s="57" t="s">
        <v>199</v>
      </c>
      <c r="E187" s="46">
        <v>1</v>
      </c>
      <c r="F187" s="43" t="s">
        <v>465</v>
      </c>
      <c r="G187" s="44">
        <v>852.4</v>
      </c>
      <c r="H187" s="44">
        <v>566.5</v>
      </c>
      <c r="I187" s="45">
        <f t="shared" si="7"/>
        <v>1418.9</v>
      </c>
      <c r="J187" s="21"/>
      <c r="K187" s="21"/>
      <c r="L187" s="21"/>
      <c r="M187" s="21"/>
      <c r="N187" s="21"/>
      <c r="O187" s="21"/>
      <c r="P187" s="21"/>
      <c r="Q187" s="2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">
      <c r="A188" s="47" t="s">
        <v>341</v>
      </c>
      <c r="B188" s="55" t="s">
        <v>342</v>
      </c>
      <c r="C188" s="57" t="s">
        <v>370</v>
      </c>
      <c r="D188" s="73" t="s">
        <v>199</v>
      </c>
      <c r="E188" s="46">
        <v>1</v>
      </c>
      <c r="F188" s="79" t="s">
        <v>496</v>
      </c>
      <c r="G188" s="44">
        <v>24932.44</v>
      </c>
      <c r="H188" s="44">
        <v>849.76</v>
      </c>
      <c r="I188" s="45">
        <f t="shared" si="7"/>
        <v>25782.199999999997</v>
      </c>
      <c r="J188" s="21"/>
      <c r="K188" s="21"/>
      <c r="L188" s="21"/>
      <c r="M188" s="21"/>
      <c r="N188" s="21"/>
      <c r="O188" s="21"/>
      <c r="P188" s="21"/>
      <c r="Q188" s="2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">
      <c r="A189" s="47" t="s">
        <v>346</v>
      </c>
      <c r="B189" s="55" t="s">
        <v>97</v>
      </c>
      <c r="C189" s="57" t="s">
        <v>370</v>
      </c>
      <c r="D189" s="57" t="s">
        <v>181</v>
      </c>
      <c r="E189" s="46">
        <v>1</v>
      </c>
      <c r="F189" s="43" t="s">
        <v>467</v>
      </c>
      <c r="G189" s="44">
        <v>0</v>
      </c>
      <c r="H189" s="44">
        <v>566.5</v>
      </c>
      <c r="I189" s="45">
        <f t="shared" si="7"/>
        <v>566.5</v>
      </c>
      <c r="J189" s="21"/>
      <c r="K189" s="21"/>
      <c r="L189" s="21"/>
      <c r="M189" s="21"/>
      <c r="N189" s="21"/>
      <c r="O189" s="21"/>
      <c r="P189" s="21"/>
      <c r="Q189" s="2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">
      <c r="A190" s="47" t="s">
        <v>346</v>
      </c>
      <c r="B190" s="55" t="s">
        <v>97</v>
      </c>
      <c r="C190" s="57" t="s">
        <v>371</v>
      </c>
      <c r="D190" s="57" t="s">
        <v>183</v>
      </c>
      <c r="E190" s="46">
        <v>1</v>
      </c>
      <c r="F190" s="79" t="s">
        <v>183</v>
      </c>
      <c r="G190" s="44">
        <v>0</v>
      </c>
      <c r="H190" s="44">
        <v>0</v>
      </c>
      <c r="I190" s="45">
        <f t="shared" si="7"/>
        <v>0</v>
      </c>
      <c r="J190" s="21"/>
      <c r="K190" s="21"/>
      <c r="L190" s="21"/>
      <c r="M190" s="21"/>
      <c r="N190" s="21"/>
      <c r="O190" s="21"/>
      <c r="P190" s="21"/>
      <c r="Q190" s="2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">
      <c r="A191" s="47" t="s">
        <v>346</v>
      </c>
      <c r="B191" s="55" t="s">
        <v>97</v>
      </c>
      <c r="C191" s="57" t="s">
        <v>372</v>
      </c>
      <c r="D191" s="57" t="s">
        <v>199</v>
      </c>
      <c r="E191" s="46">
        <v>1</v>
      </c>
      <c r="F191" s="43" t="s">
        <v>469</v>
      </c>
      <c r="G191" s="44">
        <v>853.96</v>
      </c>
      <c r="H191" s="44">
        <v>566.5</v>
      </c>
      <c r="I191" s="45">
        <f t="shared" si="7"/>
        <v>1420.46</v>
      </c>
      <c r="J191" s="21"/>
      <c r="K191" s="21"/>
      <c r="L191" s="21"/>
      <c r="M191" s="21"/>
      <c r="N191" s="21"/>
      <c r="O191" s="21"/>
      <c r="P191" s="21"/>
      <c r="Q191" s="2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">
      <c r="A192" s="56" t="s">
        <v>340</v>
      </c>
      <c r="B192" s="55" t="s">
        <v>93</v>
      </c>
      <c r="C192" s="55" t="s">
        <v>373</v>
      </c>
      <c r="D192" s="57" t="s">
        <v>181</v>
      </c>
      <c r="E192" s="46">
        <v>1</v>
      </c>
      <c r="F192" s="72" t="s">
        <v>474</v>
      </c>
      <c r="G192" s="44">
        <v>0</v>
      </c>
      <c r="H192" s="44">
        <v>1392.8</v>
      </c>
      <c r="I192" s="45">
        <f t="shared" si="7"/>
        <v>1392.8</v>
      </c>
      <c r="J192" s="21"/>
      <c r="K192" s="21"/>
      <c r="L192" s="21"/>
      <c r="M192" s="21"/>
      <c r="N192" s="21"/>
      <c r="O192" s="21"/>
      <c r="P192" s="21"/>
      <c r="Q192" s="2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">
      <c r="A193" s="56" t="s">
        <v>365</v>
      </c>
      <c r="B193" s="55" t="s">
        <v>93</v>
      </c>
      <c r="C193" s="55" t="s">
        <v>373</v>
      </c>
      <c r="D193" s="57" t="s">
        <v>199</v>
      </c>
      <c r="E193" s="46">
        <v>1</v>
      </c>
      <c r="F193" s="56" t="s">
        <v>471</v>
      </c>
      <c r="G193" s="44">
        <v>837.26</v>
      </c>
      <c r="H193" s="44">
        <v>1392.8</v>
      </c>
      <c r="I193" s="45">
        <f t="shared" si="7"/>
        <v>2230.06</v>
      </c>
      <c r="J193" s="21"/>
      <c r="K193" s="21"/>
      <c r="L193" s="21"/>
      <c r="M193" s="21"/>
      <c r="N193" s="21"/>
      <c r="O193" s="21"/>
      <c r="P193" s="21"/>
      <c r="Q193" s="2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">
      <c r="A194" s="56" t="s">
        <v>340</v>
      </c>
      <c r="B194" s="55" t="s">
        <v>93</v>
      </c>
      <c r="C194" s="55" t="s">
        <v>373</v>
      </c>
      <c r="D194" s="57" t="s">
        <v>199</v>
      </c>
      <c r="E194" s="46">
        <v>1</v>
      </c>
      <c r="F194" s="56" t="s">
        <v>472</v>
      </c>
      <c r="G194" s="44">
        <v>837.26</v>
      </c>
      <c r="H194" s="44">
        <v>1392.8</v>
      </c>
      <c r="I194" s="45">
        <f t="shared" si="7"/>
        <v>2230.06</v>
      </c>
      <c r="J194" s="21"/>
      <c r="K194" s="21"/>
      <c r="L194" s="21"/>
      <c r="M194" s="21"/>
      <c r="N194" s="21"/>
      <c r="O194" s="21"/>
      <c r="P194" s="21"/>
      <c r="Q194" s="2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">
      <c r="A195" s="56" t="s">
        <v>365</v>
      </c>
      <c r="B195" s="55" t="s">
        <v>93</v>
      </c>
      <c r="C195" s="55" t="s">
        <v>373</v>
      </c>
      <c r="D195" s="57" t="s">
        <v>199</v>
      </c>
      <c r="E195" s="46">
        <v>1</v>
      </c>
      <c r="F195" s="56" t="s">
        <v>473</v>
      </c>
      <c r="G195" s="44">
        <v>844.13</v>
      </c>
      <c r="H195" s="44">
        <v>1392.8</v>
      </c>
      <c r="I195" s="45">
        <f t="shared" si="7"/>
        <v>2236.9299999999998</v>
      </c>
      <c r="J195" s="21"/>
      <c r="K195" s="21"/>
      <c r="L195" s="21"/>
      <c r="M195" s="21"/>
      <c r="N195" s="21"/>
      <c r="O195" s="21"/>
      <c r="P195" s="21"/>
      <c r="Q195" s="2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">
      <c r="A196" s="56" t="s">
        <v>346</v>
      </c>
      <c r="B196" s="55" t="s">
        <v>97</v>
      </c>
      <c r="C196" s="55" t="s">
        <v>373</v>
      </c>
      <c r="D196" s="73" t="s">
        <v>183</v>
      </c>
      <c r="E196" s="46">
        <v>1</v>
      </c>
      <c r="F196" s="88" t="s">
        <v>183</v>
      </c>
      <c r="G196" s="44">
        <v>0</v>
      </c>
      <c r="H196" s="44">
        <v>566.5</v>
      </c>
      <c r="I196" s="45">
        <f t="shared" si="7"/>
        <v>566.5</v>
      </c>
      <c r="J196" s="21"/>
      <c r="K196" s="21"/>
      <c r="L196" s="21"/>
      <c r="M196" s="21"/>
      <c r="N196" s="21"/>
      <c r="O196" s="21"/>
      <c r="P196" s="21"/>
      <c r="Q196" s="2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">
      <c r="A197" s="56" t="s">
        <v>365</v>
      </c>
      <c r="B197" s="55" t="s">
        <v>93</v>
      </c>
      <c r="C197" s="55" t="s">
        <v>373</v>
      </c>
      <c r="D197" s="57" t="s">
        <v>199</v>
      </c>
      <c r="E197" s="46">
        <v>1</v>
      </c>
      <c r="F197" s="56" t="s">
        <v>475</v>
      </c>
      <c r="G197" s="44">
        <v>830.46</v>
      </c>
      <c r="H197" s="44">
        <v>1392.8</v>
      </c>
      <c r="I197" s="45">
        <f t="shared" si="7"/>
        <v>2223.2600000000002</v>
      </c>
      <c r="J197" s="21"/>
      <c r="K197" s="21"/>
      <c r="L197" s="21"/>
      <c r="M197" s="21"/>
      <c r="N197" s="21"/>
      <c r="O197" s="21"/>
      <c r="P197" s="21"/>
      <c r="Q197" s="2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x14ac:dyDescent="0.2">
      <c r="A198" s="56" t="s">
        <v>365</v>
      </c>
      <c r="B198" s="55" t="s">
        <v>93</v>
      </c>
      <c r="C198" s="55" t="s">
        <v>373</v>
      </c>
      <c r="D198" s="57" t="s">
        <v>199</v>
      </c>
      <c r="E198" s="46">
        <v>1</v>
      </c>
      <c r="F198" s="56" t="s">
        <v>476</v>
      </c>
      <c r="G198" s="44">
        <v>837.13</v>
      </c>
      <c r="H198" s="44">
        <v>1392.8</v>
      </c>
      <c r="I198" s="45">
        <f t="shared" si="7"/>
        <v>2229.9299999999998</v>
      </c>
      <c r="J198" s="21"/>
      <c r="K198" s="21"/>
      <c r="L198" s="21"/>
      <c r="M198" s="21"/>
      <c r="N198" s="21"/>
      <c r="O198" s="21"/>
      <c r="P198" s="21"/>
      <c r="Q198" s="21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45" x14ac:dyDescent="0.2">
      <c r="A199" s="63" t="s">
        <v>84</v>
      </c>
      <c r="B199" s="63" t="s">
        <v>85</v>
      </c>
      <c r="C199" s="35" t="s">
        <v>86</v>
      </c>
      <c r="D199" s="35" t="s">
        <v>87</v>
      </c>
      <c r="E199" s="35" t="s">
        <v>88</v>
      </c>
      <c r="F199" s="48"/>
      <c r="G199" s="35" t="s">
        <v>89</v>
      </c>
      <c r="H199" s="35" t="s">
        <v>90</v>
      </c>
      <c r="I199" s="35" t="s">
        <v>91</v>
      </c>
      <c r="J199" s="21"/>
      <c r="K199" s="21"/>
      <c r="L199" s="21"/>
      <c r="M199" s="21"/>
      <c r="N199" s="21"/>
      <c r="O199" s="21"/>
      <c r="P199" s="21"/>
      <c r="Q199" s="21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spans="1:30" x14ac:dyDescent="0.2">
      <c r="A200" s="58" t="s">
        <v>92</v>
      </c>
      <c r="B200" s="59" t="s">
        <v>93</v>
      </c>
      <c r="C200" s="28">
        <f>SUMIFS($E$95:$E$198,$B$95:$B$198,"FGS-1",$D$95:$D$198,"&lt;&gt;VAGO")</f>
        <v>43</v>
      </c>
      <c r="D200" s="28">
        <f>SUMIFS($E$95:$E$198,$B$95:$B$198,"FGS-1",$D$95:$D$198,"VAGO")</f>
        <v>1</v>
      </c>
      <c r="E200" s="28">
        <f t="shared" ref="E200:E205" si="8">C200+D200</f>
        <v>44</v>
      </c>
      <c r="F200" s="29"/>
      <c r="G200" s="45">
        <f>SUMIF($B$95:$B$198,"FGS-1",$G$95:$G$198)</f>
        <v>22749.31</v>
      </c>
      <c r="H200" s="45">
        <f>SUMIF($B$95:$B$198,"FGS-1",$H$95:$H$198)</f>
        <v>59890.400000000045</v>
      </c>
      <c r="I200" s="71">
        <f>SUMIF($B$95:$B$198,"FGS-1",$I$95:$I$198)</f>
        <v>82639.709999999992</v>
      </c>
      <c r="J200" s="21"/>
      <c r="K200" s="21"/>
      <c r="L200" s="21"/>
      <c r="M200" s="21"/>
      <c r="N200" s="21"/>
      <c r="O200" s="21"/>
      <c r="P200" s="21"/>
      <c r="Q200" s="21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x14ac:dyDescent="0.2">
      <c r="A201" s="58" t="s">
        <v>94</v>
      </c>
      <c r="B201" s="59" t="s">
        <v>95</v>
      </c>
      <c r="C201" s="28">
        <f>SUMIFS($E$95:$E$198,$B$95:$B$198,"FGS-2",$D$95:$D$198,"&lt;&gt;VAGO")</f>
        <v>20</v>
      </c>
      <c r="D201" s="28">
        <f>SUMIFS($E$95:$E$198,$B$95:$B$198,"FGS-2",$D$95:$D$198,"VAGO")</f>
        <v>0</v>
      </c>
      <c r="E201" s="28">
        <f t="shared" si="8"/>
        <v>20</v>
      </c>
      <c r="F201" s="32"/>
      <c r="G201" s="45">
        <f>SUMIF($B$95:$B$198,"FGS-2",$G$95:$G$198)</f>
        <v>42121.279999999999</v>
      </c>
      <c r="H201" s="45">
        <f>SUMIF($B$95:$B$198,"FGS-2",$H$95:$H$198)</f>
        <v>16995.2</v>
      </c>
      <c r="I201" s="71">
        <f>SUMIF($B$95:$B$198,"FGS-2",$I$95:$I$198)</f>
        <v>59116.479999999989</v>
      </c>
      <c r="J201" s="21"/>
      <c r="K201" s="21"/>
      <c r="L201" s="21"/>
      <c r="M201" s="21"/>
      <c r="N201" s="21"/>
      <c r="O201" s="21"/>
      <c r="P201" s="21"/>
      <c r="Q201" s="21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x14ac:dyDescent="0.2">
      <c r="A202" s="58" t="s">
        <v>96</v>
      </c>
      <c r="B202" s="59" t="s">
        <v>97</v>
      </c>
      <c r="C202" s="28">
        <f>SUMIFS($E$95:$E$198,$B$95:$B$198,"FGS-3",$D$95:$D$198,"&lt;&gt;VAGO")</f>
        <v>30</v>
      </c>
      <c r="D202" s="28">
        <f>SUMIFS($E$95:$E$198,$B$95:$B$198,"FGS-3",$D$95:$D$198,"VAGO")</f>
        <v>2</v>
      </c>
      <c r="E202" s="28">
        <f t="shared" si="8"/>
        <v>32</v>
      </c>
      <c r="F202" s="32"/>
      <c r="G202" s="45">
        <f>SUMIF($B$95:$B$198,"FGS-3",$G$95:$G$198)</f>
        <v>34336.51</v>
      </c>
      <c r="H202" s="45">
        <f>SUMIF($B$95:$B$198,"FGS-3",$H$95:$H$198)</f>
        <v>18387.8</v>
      </c>
      <c r="I202" s="71">
        <f>SUMIF($B$95:$B$198,"FGS-3",$I$95:$I$198)</f>
        <v>52724.310000000012</v>
      </c>
      <c r="J202" s="21"/>
      <c r="K202" s="21"/>
      <c r="L202" s="21"/>
      <c r="M202" s="21"/>
      <c r="N202" s="21"/>
      <c r="O202" s="21"/>
      <c r="P202" s="21"/>
      <c r="Q202" s="21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x14ac:dyDescent="0.2">
      <c r="A203" s="60" t="s">
        <v>98</v>
      </c>
      <c r="B203" s="61" t="s">
        <v>99</v>
      </c>
      <c r="C203" s="28">
        <f>SUMIFS($E$95:$E$198,$B$95:$B$198,"FGA-1",$D$95:$D$198,"&lt;&gt;VAGO")</f>
        <v>5</v>
      </c>
      <c r="D203" s="28">
        <f>SUMIFS($E$95:$E$198,$B$95:$B$198,"FGA-1",$D$95:$D$198,"VAGO")</f>
        <v>0</v>
      </c>
      <c r="E203" s="28">
        <f t="shared" si="8"/>
        <v>5</v>
      </c>
      <c r="F203" s="34"/>
      <c r="G203" s="45">
        <f>SUMIF($B$95:$B$198,"FGA-1",$G$95:$G$198)</f>
        <v>5171.2</v>
      </c>
      <c r="H203" s="45">
        <f>SUMIF($B$95:$B$198,"FGA-1",$H$95:$H$198)</f>
        <v>2529.0500000000002</v>
      </c>
      <c r="I203" s="71">
        <f>SUMIF($B$95:$B$198,"FGA-1",$I$95:$I$198)</f>
        <v>7700.25</v>
      </c>
      <c r="J203" s="21"/>
      <c r="K203" s="21"/>
      <c r="L203" s="21"/>
      <c r="M203" s="21"/>
      <c r="N203" s="21"/>
      <c r="O203" s="21"/>
      <c r="P203" s="21"/>
      <c r="Q203" s="21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x14ac:dyDescent="0.2">
      <c r="A204" s="58" t="s">
        <v>100</v>
      </c>
      <c r="B204" s="59" t="s">
        <v>101</v>
      </c>
      <c r="C204" s="28">
        <f>SUMIFS($E$95:$E$198,$B$95:$B$198,"FGA-2",$D$95:$D$198,"&lt;&gt;VAGO")</f>
        <v>2</v>
      </c>
      <c r="D204" s="28">
        <f>SUMIFS($E$95:$E$198,$B$95:$B$198,"FGA-2",$D$95:$D$198,"VAGO")</f>
        <v>0</v>
      </c>
      <c r="E204" s="28">
        <f t="shared" si="8"/>
        <v>2</v>
      </c>
      <c r="F204" s="34"/>
      <c r="G204" s="45">
        <f>SUMIF($B$95:$B$198,"FGA-2",$G$95:$G$198)</f>
        <v>2340.46</v>
      </c>
      <c r="H204" s="45">
        <f>SUMIF($B$95:$B$198,"FGA-2",$H$95:$H$198)</f>
        <v>1315.1100000000001</v>
      </c>
      <c r="I204" s="71">
        <f>SUMIF($B$95:$B$198,"FGA-2",$I$95:$I$198)</f>
        <v>3655.57</v>
      </c>
      <c r="J204" s="21"/>
      <c r="K204" s="21"/>
      <c r="L204" s="21"/>
      <c r="M204" s="21"/>
      <c r="N204" s="21"/>
      <c r="O204" s="21"/>
      <c r="P204" s="21"/>
      <c r="Q204" s="21"/>
      <c r="R204" s="40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1:30" x14ac:dyDescent="0.2">
      <c r="A205" s="58" t="s">
        <v>102</v>
      </c>
      <c r="B205" s="59" t="s">
        <v>103</v>
      </c>
      <c r="C205" s="28">
        <f>SUMIFS($E$95:$E$198,$B$95:$B$198,"FGA-3",$D$95:$D$198,"&lt;&gt;VAGO")</f>
        <v>1</v>
      </c>
      <c r="D205" s="28">
        <f>SUMIFS($E$95:$E$198,$B$95:$B$198,"FGA-3",$D$95:$D$198,"VAGO")</f>
        <v>0</v>
      </c>
      <c r="E205" s="28">
        <f t="shared" si="8"/>
        <v>1</v>
      </c>
      <c r="F205" s="32"/>
      <c r="G205" s="45">
        <f>SUMIF($B$95:$B$198,"FGA-3",$G$95:$G$198)</f>
        <v>1509.2</v>
      </c>
      <c r="H205" s="45">
        <f>SUMIF($B$95:$B$198,"FGA-3",$H$95:$H$198)</f>
        <v>364.17</v>
      </c>
      <c r="I205" s="71">
        <f>SUMIF($B$95:$B$198,"FGA-3",$I$95:$I$198)</f>
        <v>1873.3700000000001</v>
      </c>
      <c r="J205" s="21"/>
      <c r="K205" s="21"/>
      <c r="L205" s="21"/>
      <c r="M205" s="21"/>
      <c r="N205" s="21"/>
      <c r="O205" s="21"/>
      <c r="P205" s="21"/>
      <c r="Q205" s="21"/>
      <c r="R205" s="4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1:30" ht="30" x14ac:dyDescent="0.2">
      <c r="A206" s="63" t="s">
        <v>104</v>
      </c>
      <c r="B206" s="48"/>
      <c r="C206" s="35">
        <f t="shared" ref="C206:E206" si="9">SUM(C200:C205)</f>
        <v>101</v>
      </c>
      <c r="D206" s="35">
        <f t="shared" si="9"/>
        <v>3</v>
      </c>
      <c r="E206" s="35">
        <f t="shared" si="9"/>
        <v>104</v>
      </c>
      <c r="F206" s="48"/>
      <c r="G206" s="51">
        <f t="shared" ref="G206:I206" si="10">SUM(G200:G205)</f>
        <v>108227.96</v>
      </c>
      <c r="H206" s="51">
        <f t="shared" si="10"/>
        <v>99481.730000000054</v>
      </c>
      <c r="I206" s="51">
        <f t="shared" si="10"/>
        <v>207709.69</v>
      </c>
      <c r="J206" s="21"/>
      <c r="K206" s="21"/>
      <c r="L206" s="21"/>
      <c r="M206" s="21"/>
      <c r="N206" s="21"/>
      <c r="O206" s="21"/>
      <c r="P206" s="21"/>
      <c r="Q206" s="21"/>
      <c r="R206" s="49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spans="1:30" ht="33" customHeight="1" x14ac:dyDescent="0.2">
      <c r="A207" s="37"/>
      <c r="B207" s="37"/>
      <c r="C207" s="37"/>
      <c r="D207" s="37"/>
      <c r="E207" s="37"/>
      <c r="F207" s="37"/>
      <c r="G207" s="37"/>
      <c r="H207" s="37"/>
      <c r="I207" s="62"/>
      <c r="J207" s="62"/>
      <c r="K207" s="7"/>
      <c r="L207" s="62"/>
      <c r="M207" s="62"/>
      <c r="N207" s="62"/>
      <c r="O207" s="62"/>
      <c r="P207" s="62"/>
      <c r="Q207" s="62"/>
      <c r="R207" s="40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45" x14ac:dyDescent="0.2">
      <c r="A208" s="63"/>
      <c r="B208" s="63"/>
      <c r="C208" s="35" t="s">
        <v>105</v>
      </c>
      <c r="D208" s="35" t="s">
        <v>106</v>
      </c>
      <c r="E208" s="35" t="s">
        <v>107</v>
      </c>
      <c r="F208" s="25"/>
      <c r="G208" s="35" t="s">
        <v>108</v>
      </c>
      <c r="H208" s="35" t="s">
        <v>109</v>
      </c>
      <c r="I208" s="35" t="s">
        <v>110</v>
      </c>
      <c r="J208" s="62"/>
      <c r="K208" s="7"/>
      <c r="L208" s="62"/>
      <c r="M208" s="62"/>
      <c r="N208" s="62"/>
      <c r="O208" s="62"/>
      <c r="P208" s="62"/>
      <c r="Q208" s="62"/>
      <c r="R208" s="40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30" x14ac:dyDescent="0.2">
      <c r="A209" s="63" t="s">
        <v>111</v>
      </c>
      <c r="B209" s="25"/>
      <c r="C209" s="35">
        <f>SUM(C39+C91+C206)</f>
        <v>154</v>
      </c>
      <c r="D209" s="35">
        <f>SUM(D39+D91+D206)</f>
        <v>12</v>
      </c>
      <c r="E209" s="35">
        <f>SUM(E39+E91+E206)</f>
        <v>166</v>
      </c>
      <c r="F209" s="25"/>
      <c r="G209" s="51">
        <f>SUM(H39+G91+G206)</f>
        <v>193388.53999999998</v>
      </c>
      <c r="H209" s="51">
        <f>SUM(I39+H91+H206)</f>
        <v>314745.19000000006</v>
      </c>
      <c r="I209" s="51">
        <f>SUM(J39+I91+I206)</f>
        <v>526133.73</v>
      </c>
      <c r="J209" s="62"/>
      <c r="K209" s="7"/>
      <c r="L209" s="62"/>
      <c r="M209" s="62"/>
      <c r="N209" s="62"/>
      <c r="O209" s="62"/>
      <c r="P209" s="62"/>
      <c r="Q209" s="62"/>
      <c r="R209" s="40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ht="30" customHeight="1" x14ac:dyDescent="0.2">
      <c r="A210" s="37"/>
      <c r="B210" s="37"/>
      <c r="C210" s="37"/>
      <c r="D210" s="37"/>
      <c r="E210" s="37"/>
      <c r="F210" s="37"/>
      <c r="G210" s="37"/>
      <c r="H210" s="37"/>
      <c r="I210" s="62"/>
      <c r="J210" s="62"/>
      <c r="K210" s="7"/>
      <c r="L210" s="62"/>
      <c r="M210" s="62"/>
      <c r="N210" s="62"/>
      <c r="O210" s="62"/>
      <c r="P210" s="62"/>
      <c r="Q210" s="62"/>
      <c r="R210" s="40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">
      <c r="A211" s="100" t="s">
        <v>112</v>
      </c>
      <c r="B211" s="93"/>
      <c r="C211" s="93"/>
      <c r="D211" s="93"/>
      <c r="E211" s="93"/>
      <c r="F211" s="94"/>
      <c r="G211" s="21"/>
      <c r="H211" s="37"/>
      <c r="I211" s="37"/>
      <c r="J211" s="37"/>
      <c r="K211" s="21"/>
      <c r="L211" s="37"/>
      <c r="M211" s="62"/>
      <c r="N211" s="62"/>
      <c r="O211" s="62"/>
      <c r="P211" s="62"/>
      <c r="Q211" s="62"/>
      <c r="R211" s="40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15" customHeight="1" x14ac:dyDescent="0.2">
      <c r="A212" s="101" t="s">
        <v>113</v>
      </c>
      <c r="B212" s="93"/>
      <c r="C212" s="93"/>
      <c r="D212" s="93"/>
      <c r="E212" s="93"/>
      <c r="F212" s="94"/>
      <c r="G212" s="21"/>
      <c r="H212" s="37"/>
      <c r="I212" s="37"/>
      <c r="J212" s="37"/>
      <c r="K212" s="37"/>
      <c r="L212" s="37"/>
      <c r="M212" s="62"/>
      <c r="N212" s="62"/>
      <c r="O212" s="62"/>
      <c r="P212" s="62"/>
      <c r="Q212" s="62"/>
      <c r="R212" s="40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15" customHeight="1" x14ac:dyDescent="0.2">
      <c r="A213" s="101" t="s">
        <v>482</v>
      </c>
      <c r="B213" s="93"/>
      <c r="C213" s="93"/>
      <c r="D213" s="93"/>
      <c r="E213" s="93"/>
      <c r="F213" s="94"/>
      <c r="G213" s="21"/>
      <c r="H213" s="37"/>
      <c r="I213" s="37"/>
      <c r="J213" s="37"/>
      <c r="K213" s="37"/>
      <c r="L213" s="37"/>
      <c r="M213" s="62"/>
      <c r="N213" s="62"/>
      <c r="O213" s="62"/>
      <c r="P213" s="62"/>
      <c r="Q213" s="62"/>
      <c r="R213" s="40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15" customHeight="1" x14ac:dyDescent="0.2">
      <c r="A214" s="102" t="s">
        <v>483</v>
      </c>
      <c r="B214" s="93"/>
      <c r="C214" s="93"/>
      <c r="D214" s="93"/>
      <c r="E214" s="93"/>
      <c r="F214" s="94"/>
      <c r="G214" s="21"/>
      <c r="H214" s="37"/>
      <c r="I214" s="37"/>
      <c r="J214" s="37"/>
      <c r="K214" s="37"/>
      <c r="L214" s="37"/>
      <c r="M214" s="62"/>
      <c r="N214" s="62"/>
      <c r="O214" s="62"/>
      <c r="P214" s="62"/>
      <c r="Q214" s="62"/>
      <c r="R214" s="40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15" customHeight="1" x14ac:dyDescent="0.2">
      <c r="A215" s="102" t="s">
        <v>481</v>
      </c>
      <c r="B215" s="93"/>
      <c r="C215" s="93"/>
      <c r="D215" s="93"/>
      <c r="E215" s="93"/>
      <c r="F215" s="94"/>
      <c r="G215" s="21"/>
      <c r="H215" s="37"/>
      <c r="I215" s="37"/>
      <c r="J215" s="37"/>
      <c r="K215" s="37"/>
      <c r="L215" s="37"/>
      <c r="M215" s="62"/>
      <c r="N215" s="62"/>
      <c r="O215" s="62"/>
      <c r="P215" s="62"/>
      <c r="Q215" s="62"/>
      <c r="R215" s="40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ht="15" customHeight="1" x14ac:dyDescent="0.2">
      <c r="A216" s="102" t="s">
        <v>480</v>
      </c>
      <c r="B216" s="93"/>
      <c r="C216" s="93"/>
      <c r="D216" s="93"/>
      <c r="E216" s="93"/>
      <c r="F216" s="94"/>
      <c r="G216" s="21"/>
      <c r="H216" s="37"/>
      <c r="I216" s="37"/>
      <c r="J216" s="37"/>
      <c r="K216" s="37"/>
      <c r="L216" s="37"/>
      <c r="M216" s="62"/>
      <c r="N216" s="62"/>
      <c r="O216" s="62"/>
      <c r="P216" s="62"/>
      <c r="Q216" s="62"/>
      <c r="R216" s="40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">
      <c r="A217" s="103"/>
      <c r="B217" s="96"/>
      <c r="C217" s="96"/>
      <c r="D217" s="96"/>
      <c r="E217" s="96"/>
      <c r="F217" s="96"/>
      <c r="G217" s="21"/>
      <c r="H217" s="37"/>
      <c r="I217" s="37"/>
      <c r="J217" s="37"/>
      <c r="K217" s="37"/>
      <c r="L217" s="37"/>
      <c r="M217" s="62"/>
      <c r="N217" s="62"/>
      <c r="O217" s="62"/>
      <c r="P217" s="62"/>
      <c r="Q217" s="62"/>
      <c r="R217" s="40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">
      <c r="A218" s="100" t="s">
        <v>114</v>
      </c>
      <c r="B218" s="93"/>
      <c r="C218" s="93"/>
      <c r="D218" s="93"/>
      <c r="E218" s="93"/>
      <c r="F218" s="94"/>
      <c r="G218" s="21"/>
      <c r="H218" s="37"/>
      <c r="I218" s="37"/>
      <c r="J218" s="37"/>
      <c r="K218" s="37"/>
      <c r="L218" s="37"/>
      <c r="M218" s="62"/>
      <c r="N218" s="62"/>
      <c r="O218" s="62"/>
      <c r="P218" s="62"/>
      <c r="Q218" s="62"/>
      <c r="R218" s="40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">
      <c r="A219" s="104" t="s">
        <v>115</v>
      </c>
      <c r="B219" s="93"/>
      <c r="C219" s="93"/>
      <c r="D219" s="93"/>
      <c r="E219" s="93"/>
      <c r="F219" s="94"/>
      <c r="G219" s="21"/>
      <c r="H219" s="37"/>
      <c r="I219" s="37"/>
      <c r="J219" s="37"/>
      <c r="K219" s="37"/>
      <c r="L219" s="37"/>
      <c r="M219" s="62"/>
      <c r="N219" s="62"/>
      <c r="O219" s="62"/>
      <c r="P219" s="62"/>
      <c r="Q219" s="62"/>
      <c r="R219" s="40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">
      <c r="A220" s="92" t="s">
        <v>116</v>
      </c>
      <c r="B220" s="93"/>
      <c r="C220" s="93"/>
      <c r="D220" s="93"/>
      <c r="E220" s="93"/>
      <c r="F220" s="94"/>
      <c r="G220" s="21"/>
      <c r="H220" s="37"/>
      <c r="I220" s="37"/>
      <c r="J220" s="37"/>
      <c r="K220" s="37"/>
      <c r="L220" s="37"/>
      <c r="M220" s="62"/>
      <c r="N220" s="62"/>
      <c r="O220" s="62"/>
      <c r="P220" s="62"/>
      <c r="Q220" s="62"/>
      <c r="R220" s="40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">
      <c r="A221" s="92" t="s">
        <v>117</v>
      </c>
      <c r="B221" s="93"/>
      <c r="C221" s="93"/>
      <c r="D221" s="93"/>
      <c r="E221" s="93"/>
      <c r="F221" s="94"/>
      <c r="G221" s="21"/>
      <c r="H221" s="37"/>
      <c r="I221" s="37"/>
      <c r="J221" s="37"/>
      <c r="K221" s="37"/>
      <c r="L221" s="37"/>
      <c r="M221" s="62"/>
      <c r="N221" s="62"/>
      <c r="O221" s="62"/>
      <c r="P221" s="62"/>
      <c r="Q221" s="62"/>
      <c r="R221" s="40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x14ac:dyDescent="0.2">
      <c r="A222" s="92" t="s">
        <v>118</v>
      </c>
      <c r="B222" s="93"/>
      <c r="C222" s="93"/>
      <c r="D222" s="93"/>
      <c r="E222" s="93"/>
      <c r="F222" s="94"/>
      <c r="G222" s="21"/>
      <c r="H222" s="37"/>
      <c r="I222" s="37"/>
      <c r="J222" s="37"/>
      <c r="K222" s="37"/>
      <c r="L222" s="37"/>
      <c r="M222" s="62"/>
      <c r="N222" s="62"/>
      <c r="O222" s="62"/>
      <c r="P222" s="62"/>
      <c r="Q222" s="62"/>
      <c r="R222" s="40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x14ac:dyDescent="0.2">
      <c r="A223" s="92" t="s">
        <v>119</v>
      </c>
      <c r="B223" s="93"/>
      <c r="C223" s="93"/>
      <c r="D223" s="93"/>
      <c r="E223" s="93"/>
      <c r="F223" s="94"/>
      <c r="G223" s="21"/>
      <c r="H223" s="37"/>
      <c r="I223" s="37"/>
      <c r="J223" s="37"/>
      <c r="K223" s="37"/>
      <c r="L223" s="37"/>
      <c r="M223" s="62"/>
      <c r="N223" s="62"/>
      <c r="O223" s="62"/>
      <c r="P223" s="62"/>
      <c r="Q223" s="62"/>
      <c r="R223" s="40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x14ac:dyDescent="0.2">
      <c r="A224" s="92" t="s">
        <v>120</v>
      </c>
      <c r="B224" s="93"/>
      <c r="C224" s="93"/>
      <c r="D224" s="93"/>
      <c r="E224" s="93"/>
      <c r="F224" s="94"/>
      <c r="G224" s="21"/>
      <c r="H224" s="37"/>
      <c r="I224" s="37"/>
      <c r="J224" s="37"/>
      <c r="K224" s="37"/>
      <c r="L224" s="37"/>
      <c r="M224" s="62"/>
      <c r="N224" s="62"/>
      <c r="O224" s="62"/>
      <c r="P224" s="62"/>
      <c r="Q224" s="62"/>
      <c r="R224" s="40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x14ac:dyDescent="0.2">
      <c r="A225" s="92" t="s">
        <v>121</v>
      </c>
      <c r="B225" s="93"/>
      <c r="C225" s="93"/>
      <c r="D225" s="93"/>
      <c r="E225" s="93"/>
      <c r="F225" s="94"/>
      <c r="G225" s="21"/>
      <c r="H225" s="37"/>
      <c r="I225" s="37"/>
      <c r="J225" s="37"/>
      <c r="K225" s="37"/>
      <c r="L225" s="37"/>
      <c r="M225" s="62"/>
      <c r="N225" s="62"/>
      <c r="O225" s="62"/>
      <c r="P225" s="62"/>
      <c r="Q225" s="62"/>
      <c r="R225" s="40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">
      <c r="A226" s="92" t="s">
        <v>122</v>
      </c>
      <c r="B226" s="93"/>
      <c r="C226" s="93"/>
      <c r="D226" s="93"/>
      <c r="E226" s="93"/>
      <c r="F226" s="94"/>
      <c r="G226" s="21"/>
      <c r="H226" s="37"/>
      <c r="I226" s="37"/>
      <c r="J226" s="37"/>
      <c r="K226" s="37"/>
      <c r="L226" s="37"/>
      <c r="M226" s="62"/>
      <c r="N226" s="62"/>
      <c r="O226" s="62"/>
      <c r="P226" s="62"/>
      <c r="Q226" s="62"/>
      <c r="R226" s="40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">
      <c r="A227" s="92" t="s">
        <v>123</v>
      </c>
      <c r="B227" s="93"/>
      <c r="C227" s="93"/>
      <c r="D227" s="93"/>
      <c r="E227" s="93"/>
      <c r="F227" s="94"/>
      <c r="G227" s="21"/>
      <c r="H227" s="37"/>
      <c r="I227" s="37"/>
      <c r="J227" s="37"/>
      <c r="K227" s="37"/>
      <c r="L227" s="37"/>
      <c r="M227" s="62"/>
      <c r="N227" s="62"/>
      <c r="O227" s="62"/>
      <c r="P227" s="62"/>
      <c r="Q227" s="62"/>
      <c r="R227" s="40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">
      <c r="A228" s="92" t="s">
        <v>124</v>
      </c>
      <c r="B228" s="93"/>
      <c r="C228" s="93"/>
      <c r="D228" s="93"/>
      <c r="E228" s="93"/>
      <c r="F228" s="94"/>
      <c r="G228" s="21"/>
      <c r="H228" s="37"/>
      <c r="I228" s="37"/>
      <c r="J228" s="37"/>
      <c r="K228" s="37"/>
      <c r="L228" s="37"/>
      <c r="M228" s="62"/>
      <c r="N228" s="62"/>
      <c r="O228" s="62"/>
      <c r="P228" s="62"/>
      <c r="Q228" s="62"/>
      <c r="R228" s="40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">
      <c r="A229" s="92" t="s">
        <v>125</v>
      </c>
      <c r="B229" s="93"/>
      <c r="C229" s="93"/>
      <c r="D229" s="93"/>
      <c r="E229" s="93"/>
      <c r="F229" s="94"/>
      <c r="G229" s="21"/>
      <c r="H229" s="37"/>
      <c r="I229" s="37"/>
      <c r="J229" s="37"/>
      <c r="K229" s="37"/>
      <c r="L229" s="37"/>
      <c r="M229" s="62"/>
      <c r="N229" s="62"/>
      <c r="O229" s="62"/>
      <c r="P229" s="62"/>
      <c r="Q229" s="62"/>
      <c r="R229" s="40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">
      <c r="A230" s="92" t="s">
        <v>126</v>
      </c>
      <c r="B230" s="93"/>
      <c r="C230" s="93"/>
      <c r="D230" s="93"/>
      <c r="E230" s="93"/>
      <c r="F230" s="94"/>
      <c r="G230" s="21"/>
      <c r="H230" s="37"/>
      <c r="I230" s="37"/>
      <c r="J230" s="37"/>
      <c r="K230" s="37"/>
      <c r="L230" s="37"/>
      <c r="M230" s="62"/>
      <c r="N230" s="62"/>
      <c r="O230" s="62"/>
      <c r="P230" s="62"/>
      <c r="Q230" s="62"/>
      <c r="R230" s="40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">
      <c r="A231" s="92" t="s">
        <v>127</v>
      </c>
      <c r="B231" s="93"/>
      <c r="C231" s="93"/>
      <c r="D231" s="93"/>
      <c r="E231" s="93"/>
      <c r="F231" s="94"/>
      <c r="G231" s="21"/>
      <c r="H231" s="37"/>
      <c r="I231" s="37"/>
      <c r="J231" s="37"/>
      <c r="K231" s="37"/>
      <c r="L231" s="37"/>
      <c r="M231" s="62"/>
      <c r="N231" s="62"/>
      <c r="O231" s="62"/>
      <c r="P231" s="62"/>
      <c r="Q231" s="62"/>
      <c r="R231" s="40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x14ac:dyDescent="0.2">
      <c r="A232" s="92" t="s">
        <v>128</v>
      </c>
      <c r="B232" s="93"/>
      <c r="C232" s="93"/>
      <c r="D232" s="93"/>
      <c r="E232" s="93"/>
      <c r="F232" s="94"/>
      <c r="G232" s="21"/>
      <c r="H232" s="37"/>
      <c r="I232" s="37"/>
      <c r="J232" s="37"/>
      <c r="K232" s="37"/>
      <c r="L232" s="37"/>
      <c r="M232" s="62"/>
      <c r="N232" s="62"/>
      <c r="O232" s="62"/>
      <c r="P232" s="62"/>
      <c r="Q232" s="62"/>
      <c r="R232" s="40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">
      <c r="A233" s="92" t="s">
        <v>129</v>
      </c>
      <c r="B233" s="93"/>
      <c r="C233" s="93"/>
      <c r="D233" s="93"/>
      <c r="E233" s="93"/>
      <c r="F233" s="94"/>
      <c r="G233" s="21"/>
      <c r="H233" s="37"/>
      <c r="I233" s="37"/>
      <c r="J233" s="37"/>
      <c r="K233" s="37"/>
      <c r="L233" s="37"/>
      <c r="M233" s="62"/>
      <c r="N233" s="62"/>
      <c r="O233" s="62"/>
      <c r="P233" s="62"/>
      <c r="Q233" s="62"/>
      <c r="R233" s="40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">
      <c r="A234" s="92" t="s">
        <v>130</v>
      </c>
      <c r="B234" s="93"/>
      <c r="C234" s="93"/>
      <c r="D234" s="93"/>
      <c r="E234" s="93"/>
      <c r="F234" s="94"/>
      <c r="G234" s="21"/>
      <c r="H234" s="37"/>
      <c r="I234" s="37"/>
      <c r="J234" s="37"/>
      <c r="K234" s="37"/>
      <c r="L234" s="37"/>
      <c r="M234" s="62"/>
      <c r="N234" s="62"/>
      <c r="O234" s="62"/>
      <c r="P234" s="62"/>
      <c r="Q234" s="62"/>
      <c r="R234" s="40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">
      <c r="A235" s="92" t="s">
        <v>131</v>
      </c>
      <c r="B235" s="93"/>
      <c r="C235" s="93"/>
      <c r="D235" s="93"/>
      <c r="E235" s="93"/>
      <c r="F235" s="94"/>
      <c r="G235" s="21"/>
      <c r="H235" s="37"/>
      <c r="I235" s="37"/>
      <c r="J235" s="37"/>
      <c r="K235" s="37"/>
      <c r="L235" s="37"/>
      <c r="M235" s="62"/>
      <c r="N235" s="62"/>
      <c r="O235" s="62"/>
      <c r="P235" s="62"/>
      <c r="Q235" s="62"/>
      <c r="R235" s="40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">
      <c r="A236" s="92" t="s">
        <v>132</v>
      </c>
      <c r="B236" s="93"/>
      <c r="C236" s="93"/>
      <c r="D236" s="93"/>
      <c r="E236" s="93"/>
      <c r="F236" s="94"/>
      <c r="G236" s="21"/>
      <c r="H236" s="37"/>
      <c r="I236" s="37"/>
      <c r="J236" s="37"/>
      <c r="K236" s="37"/>
      <c r="L236" s="37"/>
      <c r="M236" s="62"/>
      <c r="N236" s="62"/>
      <c r="O236" s="62"/>
      <c r="P236" s="62"/>
      <c r="Q236" s="62"/>
      <c r="R236" s="40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">
      <c r="A237" s="92" t="s">
        <v>133</v>
      </c>
      <c r="B237" s="93"/>
      <c r="C237" s="93"/>
      <c r="D237" s="93"/>
      <c r="E237" s="93"/>
      <c r="F237" s="94"/>
      <c r="G237" s="21"/>
      <c r="H237" s="37"/>
      <c r="I237" s="37"/>
      <c r="J237" s="37"/>
      <c r="K237" s="37"/>
      <c r="L237" s="37"/>
      <c r="M237" s="62"/>
      <c r="N237" s="62"/>
      <c r="O237" s="62"/>
      <c r="P237" s="62"/>
      <c r="Q237" s="62"/>
      <c r="R237" s="40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">
      <c r="A238" s="92" t="s">
        <v>134</v>
      </c>
      <c r="B238" s="93"/>
      <c r="C238" s="93"/>
      <c r="D238" s="93"/>
      <c r="E238" s="93"/>
      <c r="F238" s="94"/>
      <c r="G238" s="21"/>
      <c r="H238" s="37"/>
      <c r="I238" s="37"/>
      <c r="J238" s="37"/>
      <c r="K238" s="37"/>
      <c r="L238" s="37"/>
      <c r="M238" s="62"/>
      <c r="N238" s="62"/>
      <c r="O238" s="62"/>
      <c r="P238" s="62"/>
      <c r="Q238" s="62"/>
      <c r="R238" s="4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">
      <c r="A239" s="92" t="s">
        <v>135</v>
      </c>
      <c r="B239" s="93"/>
      <c r="C239" s="93"/>
      <c r="D239" s="93"/>
      <c r="E239" s="93"/>
      <c r="F239" s="94"/>
      <c r="G239" s="21"/>
      <c r="H239" s="37"/>
      <c r="I239" s="37"/>
      <c r="J239" s="37"/>
      <c r="K239" s="37"/>
      <c r="L239" s="37"/>
      <c r="M239" s="62"/>
      <c r="N239" s="62"/>
      <c r="O239" s="62"/>
      <c r="P239" s="62"/>
      <c r="Q239" s="62"/>
      <c r="R239" s="40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">
      <c r="A240" s="92" t="s">
        <v>136</v>
      </c>
      <c r="B240" s="93"/>
      <c r="C240" s="93"/>
      <c r="D240" s="93"/>
      <c r="E240" s="93"/>
      <c r="F240" s="94"/>
      <c r="G240" s="21"/>
      <c r="H240" s="37"/>
      <c r="I240" s="37"/>
      <c r="J240" s="37"/>
      <c r="K240" s="37"/>
      <c r="L240" s="37"/>
      <c r="M240" s="62"/>
      <c r="N240" s="62"/>
      <c r="O240" s="62"/>
      <c r="P240" s="62"/>
      <c r="Q240" s="62"/>
      <c r="R240" s="40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">
      <c r="A241" s="92" t="s">
        <v>137</v>
      </c>
      <c r="B241" s="93"/>
      <c r="C241" s="93"/>
      <c r="D241" s="93"/>
      <c r="E241" s="93"/>
      <c r="F241" s="94"/>
      <c r="G241" s="21"/>
      <c r="H241" s="37"/>
      <c r="I241" s="37"/>
      <c r="J241" s="37"/>
      <c r="K241" s="37"/>
      <c r="L241" s="37"/>
      <c r="M241" s="62"/>
      <c r="N241" s="62"/>
      <c r="O241" s="62"/>
      <c r="P241" s="62"/>
      <c r="Q241" s="62"/>
      <c r="R241" s="40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1:30" x14ac:dyDescent="0.2">
      <c r="A242" s="92" t="s">
        <v>138</v>
      </c>
      <c r="B242" s="93"/>
      <c r="C242" s="93"/>
      <c r="D242" s="93"/>
      <c r="E242" s="93"/>
      <c r="F242" s="94"/>
      <c r="G242" s="21"/>
      <c r="H242" s="37"/>
      <c r="I242" s="37"/>
      <c r="J242" s="37"/>
      <c r="K242" s="37"/>
      <c r="L242" s="37"/>
      <c r="M242" s="62"/>
      <c r="N242" s="62"/>
      <c r="O242" s="62"/>
      <c r="P242" s="62"/>
      <c r="Q242" s="62"/>
      <c r="R242" s="64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 x14ac:dyDescent="0.2">
      <c r="A243" s="92" t="s">
        <v>139</v>
      </c>
      <c r="B243" s="93"/>
      <c r="C243" s="93"/>
      <c r="D243" s="93"/>
      <c r="E243" s="93"/>
      <c r="F243" s="94"/>
      <c r="G243" s="21"/>
      <c r="H243" s="37"/>
      <c r="I243" s="37"/>
      <c r="J243" s="37"/>
      <c r="K243" s="37"/>
      <c r="L243" s="37"/>
      <c r="M243" s="62"/>
      <c r="N243" s="62"/>
      <c r="O243" s="62"/>
      <c r="P243" s="62"/>
      <c r="Q243" s="62"/>
      <c r="R243" s="64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 x14ac:dyDescent="0.2">
      <c r="A244" s="92" t="s">
        <v>140</v>
      </c>
      <c r="B244" s="93"/>
      <c r="C244" s="93"/>
      <c r="D244" s="93"/>
      <c r="E244" s="93"/>
      <c r="F244" s="94"/>
      <c r="G244" s="21"/>
      <c r="H244" s="37"/>
      <c r="I244" s="37"/>
      <c r="J244" s="37"/>
      <c r="K244" s="37"/>
      <c r="L244" s="37"/>
      <c r="M244" s="62"/>
      <c r="N244" s="62"/>
      <c r="O244" s="62"/>
      <c r="P244" s="62"/>
      <c r="Q244" s="62"/>
      <c r="R244" s="64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 x14ac:dyDescent="0.2">
      <c r="A245" s="92" t="s">
        <v>141</v>
      </c>
      <c r="B245" s="93"/>
      <c r="C245" s="93"/>
      <c r="D245" s="93"/>
      <c r="E245" s="93"/>
      <c r="F245" s="94"/>
      <c r="G245" s="21"/>
      <c r="H245" s="37"/>
      <c r="I245" s="37"/>
      <c r="J245" s="37"/>
      <c r="K245" s="37"/>
      <c r="L245" s="37"/>
      <c r="M245" s="62"/>
      <c r="N245" s="62"/>
      <c r="O245" s="62"/>
      <c r="P245" s="62"/>
      <c r="Q245" s="62"/>
      <c r="R245" s="64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 x14ac:dyDescent="0.2">
      <c r="A246" s="92" t="s">
        <v>142</v>
      </c>
      <c r="B246" s="93"/>
      <c r="C246" s="93"/>
      <c r="D246" s="93"/>
      <c r="E246" s="93"/>
      <c r="F246" s="94"/>
      <c r="G246" s="21"/>
      <c r="H246" s="37"/>
      <c r="I246" s="37"/>
      <c r="J246" s="37"/>
      <c r="K246" s="37"/>
      <c r="L246" s="37"/>
      <c r="M246" s="62"/>
      <c r="N246" s="62"/>
      <c r="O246" s="62"/>
      <c r="P246" s="62"/>
      <c r="Q246" s="62"/>
      <c r="R246" s="64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 x14ac:dyDescent="0.2">
      <c r="A247" s="92" t="s">
        <v>143</v>
      </c>
      <c r="B247" s="93"/>
      <c r="C247" s="93"/>
      <c r="D247" s="93"/>
      <c r="E247" s="93"/>
      <c r="F247" s="94"/>
      <c r="G247" s="21"/>
      <c r="H247" s="37"/>
      <c r="I247" s="37"/>
      <c r="J247" s="37"/>
      <c r="K247" s="37"/>
      <c r="L247" s="37"/>
      <c r="M247" s="62"/>
      <c r="N247" s="62"/>
      <c r="O247" s="62"/>
      <c r="P247" s="62"/>
      <c r="Q247" s="62"/>
      <c r="R247" s="64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 x14ac:dyDescent="0.2">
      <c r="A248" s="92" t="s">
        <v>144</v>
      </c>
      <c r="B248" s="93"/>
      <c r="C248" s="93"/>
      <c r="D248" s="93"/>
      <c r="E248" s="93"/>
      <c r="F248" s="94"/>
      <c r="G248" s="21"/>
      <c r="H248" s="37"/>
      <c r="I248" s="37"/>
      <c r="J248" s="37"/>
      <c r="K248" s="37"/>
      <c r="L248" s="37"/>
      <c r="M248" s="62"/>
      <c r="N248" s="62"/>
      <c r="O248" s="62"/>
      <c r="P248" s="62"/>
      <c r="Q248" s="62"/>
      <c r="R248" s="64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 x14ac:dyDescent="0.2">
      <c r="A249" s="92" t="s">
        <v>145</v>
      </c>
      <c r="B249" s="93"/>
      <c r="C249" s="93"/>
      <c r="D249" s="93"/>
      <c r="E249" s="93"/>
      <c r="F249" s="94"/>
      <c r="G249" s="21"/>
      <c r="H249" s="37"/>
      <c r="I249" s="37"/>
      <c r="J249" s="37"/>
      <c r="K249" s="37"/>
      <c r="L249" s="37"/>
      <c r="M249" s="62"/>
      <c r="N249" s="62"/>
      <c r="O249" s="62"/>
      <c r="P249" s="62"/>
      <c r="Q249" s="62"/>
      <c r="R249" s="64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 x14ac:dyDescent="0.2">
      <c r="A250" s="92" t="s">
        <v>146</v>
      </c>
      <c r="B250" s="93"/>
      <c r="C250" s="93"/>
      <c r="D250" s="93"/>
      <c r="E250" s="93"/>
      <c r="F250" s="94"/>
      <c r="G250" s="21"/>
      <c r="H250" s="37"/>
      <c r="I250" s="37"/>
      <c r="J250" s="37"/>
      <c r="K250" s="37"/>
      <c r="L250" s="37"/>
      <c r="M250" s="62"/>
      <c r="N250" s="62"/>
      <c r="O250" s="62"/>
      <c r="P250" s="62"/>
      <c r="Q250" s="62"/>
      <c r="R250" s="64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 x14ac:dyDescent="0.2">
      <c r="A251" s="92" t="s">
        <v>147</v>
      </c>
      <c r="B251" s="93"/>
      <c r="C251" s="93"/>
      <c r="D251" s="93"/>
      <c r="E251" s="93"/>
      <c r="F251" s="94"/>
      <c r="G251" s="21"/>
      <c r="H251" s="37"/>
      <c r="I251" s="37"/>
      <c r="J251" s="37"/>
      <c r="K251" s="37"/>
      <c r="L251" s="37"/>
      <c r="M251" s="62"/>
      <c r="N251" s="62"/>
      <c r="O251" s="62"/>
      <c r="P251" s="62"/>
      <c r="Q251" s="62"/>
      <c r="R251" s="64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 x14ac:dyDescent="0.2">
      <c r="A252" s="92" t="s">
        <v>148</v>
      </c>
      <c r="B252" s="93"/>
      <c r="C252" s="93"/>
      <c r="D252" s="93"/>
      <c r="E252" s="93"/>
      <c r="F252" s="94"/>
      <c r="G252" s="21"/>
      <c r="H252" s="37"/>
      <c r="I252" s="37"/>
      <c r="J252" s="37"/>
      <c r="K252" s="37"/>
      <c r="L252" s="37"/>
      <c r="M252" s="62"/>
      <c r="N252" s="62"/>
      <c r="O252" s="62"/>
      <c r="P252" s="62"/>
      <c r="Q252" s="62"/>
      <c r="R252" s="64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 x14ac:dyDescent="0.2">
      <c r="A253" s="92" t="s">
        <v>149</v>
      </c>
      <c r="B253" s="93"/>
      <c r="C253" s="93"/>
      <c r="D253" s="93"/>
      <c r="E253" s="93"/>
      <c r="F253" s="94"/>
      <c r="G253" s="21"/>
      <c r="H253" s="37"/>
      <c r="I253" s="37"/>
      <c r="J253" s="37"/>
      <c r="K253" s="37"/>
      <c r="L253" s="37"/>
      <c r="M253" s="62"/>
      <c r="N253" s="62"/>
      <c r="O253" s="62"/>
      <c r="P253" s="62"/>
      <c r="Q253" s="62"/>
      <c r="R253" s="64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 x14ac:dyDescent="0.2">
      <c r="A254" s="92" t="s">
        <v>150</v>
      </c>
      <c r="B254" s="93"/>
      <c r="C254" s="93"/>
      <c r="D254" s="93"/>
      <c r="E254" s="93"/>
      <c r="F254" s="94"/>
      <c r="G254" s="21"/>
      <c r="H254" s="37"/>
      <c r="I254" s="37"/>
      <c r="J254" s="37"/>
      <c r="K254" s="37"/>
      <c r="L254" s="37"/>
      <c r="M254" s="62"/>
      <c r="N254" s="62"/>
      <c r="O254" s="62"/>
      <c r="P254" s="62"/>
      <c r="Q254" s="62"/>
      <c r="R254" s="64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 x14ac:dyDescent="0.2">
      <c r="A255" s="92" t="s">
        <v>151</v>
      </c>
      <c r="B255" s="93"/>
      <c r="C255" s="93"/>
      <c r="D255" s="93"/>
      <c r="E255" s="93"/>
      <c r="F255" s="94"/>
      <c r="G255" s="21"/>
      <c r="H255" s="37"/>
      <c r="I255" s="37"/>
      <c r="J255" s="37"/>
      <c r="K255" s="37"/>
      <c r="L255" s="37"/>
      <c r="M255" s="62"/>
      <c r="N255" s="62"/>
      <c r="O255" s="62"/>
      <c r="P255" s="62"/>
      <c r="Q255" s="62"/>
      <c r="R255" s="64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 x14ac:dyDescent="0.2">
      <c r="A256" s="92" t="s">
        <v>152</v>
      </c>
      <c r="B256" s="93"/>
      <c r="C256" s="93"/>
      <c r="D256" s="93"/>
      <c r="E256" s="93"/>
      <c r="F256" s="94"/>
      <c r="G256" s="21"/>
      <c r="H256" s="37"/>
      <c r="I256" s="37"/>
      <c r="J256" s="37"/>
      <c r="K256" s="37"/>
      <c r="L256" s="37"/>
      <c r="M256" s="62"/>
      <c r="N256" s="62"/>
      <c r="O256" s="62"/>
      <c r="P256" s="62"/>
      <c r="Q256" s="62"/>
      <c r="R256" s="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 x14ac:dyDescent="0.2">
      <c r="A257" s="92" t="s">
        <v>153</v>
      </c>
      <c r="B257" s="93"/>
      <c r="C257" s="93"/>
      <c r="D257" s="93"/>
      <c r="E257" s="93"/>
      <c r="F257" s="94"/>
      <c r="G257" s="21"/>
      <c r="H257" s="37"/>
      <c r="I257" s="37"/>
      <c r="J257" s="37"/>
      <c r="K257" s="37"/>
      <c r="L257" s="37"/>
      <c r="M257" s="62"/>
      <c r="N257" s="62"/>
      <c r="O257" s="62"/>
      <c r="P257" s="62"/>
      <c r="Q257" s="62"/>
      <c r="R257" s="64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 x14ac:dyDescent="0.2">
      <c r="A258" s="92" t="s">
        <v>154</v>
      </c>
      <c r="B258" s="93"/>
      <c r="C258" s="93"/>
      <c r="D258" s="93"/>
      <c r="E258" s="93"/>
      <c r="F258" s="94"/>
      <c r="G258" s="21"/>
      <c r="H258" s="37"/>
      <c r="I258" s="37"/>
      <c r="J258" s="37"/>
      <c r="K258" s="37"/>
      <c r="L258" s="37"/>
      <c r="M258" s="62"/>
      <c r="N258" s="62"/>
      <c r="O258" s="62"/>
      <c r="P258" s="62"/>
      <c r="Q258" s="62"/>
      <c r="R258" s="64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 x14ac:dyDescent="0.2">
      <c r="A259" s="92" t="s">
        <v>155</v>
      </c>
      <c r="B259" s="93"/>
      <c r="C259" s="93"/>
      <c r="D259" s="93"/>
      <c r="E259" s="93"/>
      <c r="F259" s="94"/>
      <c r="G259" s="21"/>
      <c r="H259" s="37"/>
      <c r="I259" s="37"/>
      <c r="J259" s="37"/>
      <c r="K259" s="37"/>
      <c r="L259" s="37"/>
      <c r="M259" s="62"/>
      <c r="N259" s="62"/>
      <c r="O259" s="62"/>
      <c r="P259" s="62"/>
      <c r="Q259" s="62"/>
      <c r="R259" s="64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 ht="14.25" x14ac:dyDescent="0.2">
      <c r="A260" s="92" t="s">
        <v>156</v>
      </c>
      <c r="B260" s="93"/>
      <c r="C260" s="93"/>
      <c r="D260" s="93"/>
      <c r="E260" s="93"/>
      <c r="F260" s="94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 ht="14.25" x14ac:dyDescent="0.2">
      <c r="A261" s="92" t="s">
        <v>157</v>
      </c>
      <c r="B261" s="93"/>
      <c r="C261" s="93"/>
      <c r="D261" s="93"/>
      <c r="E261" s="93"/>
      <c r="F261" s="94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 ht="14.25" x14ac:dyDescent="0.2">
      <c r="A262" s="92" t="s">
        <v>158</v>
      </c>
      <c r="B262" s="93"/>
      <c r="C262" s="93"/>
      <c r="D262" s="93"/>
      <c r="E262" s="93"/>
      <c r="F262" s="94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 ht="14.25" x14ac:dyDescent="0.2">
      <c r="A263" s="92" t="s">
        <v>159</v>
      </c>
      <c r="B263" s="93"/>
      <c r="C263" s="93"/>
      <c r="D263" s="93"/>
      <c r="E263" s="93"/>
      <c r="F263" s="94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 ht="14.25" x14ac:dyDescent="0.2">
      <c r="A264" s="92" t="s">
        <v>160</v>
      </c>
      <c r="B264" s="93"/>
      <c r="C264" s="93"/>
      <c r="D264" s="93"/>
      <c r="E264" s="93"/>
      <c r="F264" s="94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 ht="14.25" x14ac:dyDescent="0.2">
      <c r="A265" s="92" t="s">
        <v>161</v>
      </c>
      <c r="B265" s="93"/>
      <c r="C265" s="93"/>
      <c r="D265" s="93"/>
      <c r="E265" s="93"/>
      <c r="F265" s="94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 ht="14.25" x14ac:dyDescent="0.2">
      <c r="A266" s="92" t="s">
        <v>162</v>
      </c>
      <c r="B266" s="93"/>
      <c r="C266" s="93"/>
      <c r="D266" s="93"/>
      <c r="E266" s="93"/>
      <c r="F266" s="94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 ht="14.25" x14ac:dyDescent="0.2">
      <c r="A267" s="92" t="s">
        <v>163</v>
      </c>
      <c r="B267" s="93"/>
      <c r="C267" s="93"/>
      <c r="D267" s="93"/>
      <c r="E267" s="93"/>
      <c r="F267" s="94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 ht="14.25" x14ac:dyDescent="0.2">
      <c r="A268" s="92" t="s">
        <v>164</v>
      </c>
      <c r="B268" s="93"/>
      <c r="C268" s="93"/>
      <c r="D268" s="93"/>
      <c r="E268" s="93"/>
      <c r="F268" s="94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 ht="14.25" x14ac:dyDescent="0.2">
      <c r="A269" s="92" t="s">
        <v>165</v>
      </c>
      <c r="B269" s="93"/>
      <c r="C269" s="93"/>
      <c r="D269" s="93"/>
      <c r="E269" s="93"/>
      <c r="F269" s="94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 ht="14.25" x14ac:dyDescent="0.2">
      <c r="A270" s="92" t="s">
        <v>166</v>
      </c>
      <c r="B270" s="93"/>
      <c r="C270" s="93"/>
      <c r="D270" s="93"/>
      <c r="E270" s="93"/>
      <c r="F270" s="94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 ht="14.25" x14ac:dyDescent="0.2">
      <c r="A271" s="92" t="s">
        <v>167</v>
      </c>
      <c r="B271" s="93"/>
      <c r="C271" s="93"/>
      <c r="D271" s="93"/>
      <c r="E271" s="93"/>
      <c r="F271" s="94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 ht="14.25" x14ac:dyDescent="0.2">
      <c r="A272" s="92" t="s">
        <v>168</v>
      </c>
      <c r="B272" s="93"/>
      <c r="C272" s="93"/>
      <c r="D272" s="93"/>
      <c r="E272" s="93"/>
      <c r="F272" s="94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 ht="14.25" x14ac:dyDescent="0.2">
      <c r="A273" s="92" t="s">
        <v>169</v>
      </c>
      <c r="B273" s="93"/>
      <c r="C273" s="93"/>
      <c r="D273" s="93"/>
      <c r="E273" s="93"/>
      <c r="F273" s="94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 ht="14.25" x14ac:dyDescent="0.2">
      <c r="A274" s="92" t="s">
        <v>170</v>
      </c>
      <c r="B274" s="93"/>
      <c r="C274" s="93"/>
      <c r="D274" s="93"/>
      <c r="E274" s="93"/>
      <c r="F274" s="94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 ht="14.25" x14ac:dyDescent="0.2">
      <c r="A275" s="92" t="s">
        <v>171</v>
      </c>
      <c r="B275" s="93"/>
      <c r="C275" s="93"/>
      <c r="D275" s="93"/>
      <c r="E275" s="93"/>
      <c r="F275" s="94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 ht="14.25" x14ac:dyDescent="0.2">
      <c r="A276" s="92" t="s">
        <v>172</v>
      </c>
      <c r="B276" s="93"/>
      <c r="C276" s="93"/>
      <c r="D276" s="93"/>
      <c r="E276" s="93"/>
      <c r="F276" s="94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 ht="14.25" x14ac:dyDescent="0.2">
      <c r="A277" s="92" t="s">
        <v>173</v>
      </c>
      <c r="B277" s="93"/>
      <c r="C277" s="93"/>
      <c r="D277" s="93"/>
      <c r="E277" s="93"/>
      <c r="F277" s="94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 ht="14.25" x14ac:dyDescent="0.2">
      <c r="A278" s="92" t="s">
        <v>174</v>
      </c>
      <c r="B278" s="93"/>
      <c r="C278" s="93"/>
      <c r="D278" s="93"/>
      <c r="E278" s="93"/>
      <c r="F278" s="94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 ht="14.25" x14ac:dyDescent="0.2">
      <c r="A279" s="92" t="s">
        <v>175</v>
      </c>
      <c r="B279" s="93"/>
      <c r="C279" s="93"/>
      <c r="D279" s="93"/>
      <c r="E279" s="93"/>
      <c r="F279" s="94"/>
      <c r="G279" s="68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</row>
    <row r="280" spans="1:30" ht="14.2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</row>
    <row r="281" spans="1:30" ht="14.2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</row>
    <row r="282" spans="1:30" ht="14.2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</row>
    <row r="283" spans="1:30" ht="14.25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</row>
    <row r="284" spans="1:30" ht="14.25" x14ac:dyDescent="0.2"/>
    <row r="285" spans="1:30" ht="14.25" x14ac:dyDescent="0.2"/>
    <row r="286" spans="1:30" ht="14.25" x14ac:dyDescent="0.2"/>
    <row r="287" spans="1:30" ht="14.25" x14ac:dyDescent="0.2"/>
    <row r="288" spans="1:30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</sheetData>
  <mergeCells count="76">
    <mergeCell ref="A41:I41"/>
    <mergeCell ref="A1:J1"/>
    <mergeCell ref="A2:J2"/>
    <mergeCell ref="A3:J3"/>
    <mergeCell ref="B4:J4"/>
    <mergeCell ref="A5:J5"/>
    <mergeCell ref="A221:F221"/>
    <mergeCell ref="A93:I93"/>
    <mergeCell ref="A211:F211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20:F220"/>
    <mergeCell ref="A233:F233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32:F232"/>
    <mergeCell ref="A245:F245"/>
    <mergeCell ref="A234:F234"/>
    <mergeCell ref="A235:F235"/>
    <mergeCell ref="A236:F236"/>
    <mergeCell ref="A237:F237"/>
    <mergeCell ref="A238:F238"/>
    <mergeCell ref="A239:F239"/>
    <mergeCell ref="A240:F240"/>
    <mergeCell ref="A241:F241"/>
    <mergeCell ref="A242:F242"/>
    <mergeCell ref="A243:F243"/>
    <mergeCell ref="A244:F244"/>
    <mergeCell ref="A257:F257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F255"/>
    <mergeCell ref="A256:F256"/>
    <mergeCell ref="A269:F269"/>
    <mergeCell ref="A258:F258"/>
    <mergeCell ref="A259:F259"/>
    <mergeCell ref="A260:F260"/>
    <mergeCell ref="A261:F261"/>
    <mergeCell ref="A262:F262"/>
    <mergeCell ref="A263:F263"/>
    <mergeCell ref="A264:F264"/>
    <mergeCell ref="A265:F265"/>
    <mergeCell ref="A266:F266"/>
    <mergeCell ref="A267:F267"/>
    <mergeCell ref="A268:F268"/>
    <mergeCell ref="A276:F276"/>
    <mergeCell ref="A277:F277"/>
    <mergeCell ref="A278:F278"/>
    <mergeCell ref="A279:F279"/>
    <mergeCell ref="A270:F270"/>
    <mergeCell ref="A271:F271"/>
    <mergeCell ref="A272:F272"/>
    <mergeCell ref="A273:F273"/>
    <mergeCell ref="A274:F274"/>
    <mergeCell ref="A275:F275"/>
  </mergeCells>
  <dataValidations count="4">
    <dataValidation type="list" allowBlank="1" sqref="B43:B84">
      <formula1>"FDA,FDA-1,FDA-2,FDA-3,FDA-4"</formula1>
    </dataValidation>
    <dataValidation type="list" allowBlank="1" sqref="D95:D198 D7:D26 D43:D84">
      <formula1>"AGP,CLH,CLT,COM,CTD,CTI,DES,DISP,ELE,ESG,EST,EXM,EXQ,EXR,FRQ,REV,VAGO"</formula1>
    </dataValidation>
    <dataValidation type="list" allowBlank="1" sqref="B95:B198">
      <formula1>"FGS-1,FGS-2,FGS-3,FGA-1,FGA-2,FGA-3"</formula1>
    </dataValidation>
    <dataValidation type="list" allowBlank="1" sqref="B7:B26">
      <formula1>"DAS,DAS-1,DAS-2,DAS-3,DAS-4,DAS-5,CAA-1,CAA-2,CAA-3,CAA-4,CAA-5"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47AA9DDEF54FB2E7EBC5DE059625" ma:contentTypeVersion="2" ma:contentTypeDescription="Crie um novo documento." ma:contentTypeScope="" ma:versionID="3e1743f3443c9ece4f46c5a8263b801f">
  <xsd:schema xmlns:xsd="http://www.w3.org/2001/XMLSchema" xmlns:xs="http://www.w3.org/2001/XMLSchema" xmlns:p="http://schemas.microsoft.com/office/2006/metadata/properties" xmlns:ns2="230d73bc-ee14-4cdc-a0ca-20e003e31026" xmlns:ns3="438315c9-155c-40a4-8555-ce86647049d8" xmlns:ns4="803c114c-9b58-4b93-8e60-ebdef7b984d9" targetNamespace="http://schemas.microsoft.com/office/2006/metadata/properties" ma:root="true" ma:fieldsID="593f9ed4c288e9a1e3bb6c8754a9946b" ns2:_="" ns3:_="" ns4:_="">
    <xsd:import namespace="230d73bc-ee14-4cdc-a0ca-20e003e31026"/>
    <xsd:import namespace="438315c9-155c-40a4-8555-ce86647049d8"/>
    <xsd:import namespace="803c114c-9b58-4b93-8e60-ebdef7b984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315c9-155c-40a4-8555-ce86647049d8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c114c-9b58-4b93-8e60-ebdef7b984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438315c9-155c-40a4-8555-ce86647049d8" xsi:nil="true"/>
    <_dlc_DocId xmlns="230d73bc-ee14-4cdc-a0ca-20e003e31026">75ZWAK4VW4FF-1329903846-48</_dlc_DocId>
    <_dlc_DocIdUrl xmlns="230d73bc-ee14-4cdc-a0ca-20e003e31026">
      <Url>https://www.sefaz.pe.gov.br/Institucional/Secretaria/_layouts/15/DocIdRedir.aspx?ID=75ZWAK4VW4FF-1329903846-48</Url>
      <Description>75ZWAK4VW4FF-1329903846-48</Description>
    </_dlc_DocIdUrl>
  </documentManagement>
</p:properties>
</file>

<file path=customXml/itemProps1.xml><?xml version="1.0" encoding="utf-8"?>
<ds:datastoreItem xmlns:ds="http://schemas.openxmlformats.org/officeDocument/2006/customXml" ds:itemID="{41987316-DCE8-4A31-87F7-3A29A1E92D37}"/>
</file>

<file path=customXml/itemProps2.xml><?xml version="1.0" encoding="utf-8"?>
<ds:datastoreItem xmlns:ds="http://schemas.openxmlformats.org/officeDocument/2006/customXml" ds:itemID="{47D438EF-1A94-469F-9974-773BC3F82D54}"/>
</file>

<file path=customXml/itemProps3.xml><?xml version="1.0" encoding="utf-8"?>
<ds:datastoreItem xmlns:ds="http://schemas.openxmlformats.org/officeDocument/2006/customXml" ds:itemID="{4CD4EDE9-6A18-4733-BBC9-562E00AEB28C}"/>
</file>

<file path=customXml/itemProps4.xml><?xml version="1.0" encoding="utf-8"?>
<ds:datastoreItem xmlns:ds="http://schemas.openxmlformats.org/officeDocument/2006/customXml" ds:itemID="{3DEDCC71-78D3-448F-8AEB-5274EA3BF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2023-jan</vt:lpstr>
      <vt:lpstr>2023-fev</vt:lpstr>
      <vt:lpstr>2023-mar</vt:lpstr>
      <vt:lpstr>2023-abr</vt:lpstr>
      <vt:lpstr>2023-mai</vt:lpstr>
      <vt:lpstr>2023-jun</vt:lpstr>
      <vt:lpstr>2023-jul</vt:lpstr>
      <vt:lpstr>2023-ago</vt:lpstr>
      <vt:lpstr>2023-set</vt:lpstr>
      <vt:lpstr>2023-out</vt:lpstr>
      <vt:lpstr>2023-nov</vt:lpstr>
      <vt:lpstr>2023-dez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MALTA VARELA DE ARAUJO BARBOSA</dc:creator>
  <cp:lastModifiedBy>MARIA EDUARDA MALTA VARELA DE ARAUJO BARBOSA</cp:lastModifiedBy>
  <dcterms:created xsi:type="dcterms:W3CDTF">2023-05-05T19:35:09Z</dcterms:created>
  <dcterms:modified xsi:type="dcterms:W3CDTF">2024-02-01T15:17:39Z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c4afc2eb-4e58-4d64-b60d-930ee500ae59</vt:lpwstr>
  </property>
  <property fmtid="{D5CDD505-2E9C-101B-9397-08002B2CF9AE}" pid="3" name="ContentTypeId">
    <vt:lpwstr>0x0101007C6F47AA9DDEF54FB2E7EBC5DE059625</vt:lpwstr>
  </property>
</Properties>
</file>